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ki\Рабочий стол\"/>
    </mc:Choice>
  </mc:AlternateContent>
  <bookViews>
    <workbookView xWindow="0" yWindow="0" windowWidth="28800" windowHeight="11835"/>
  </bookViews>
  <sheets>
    <sheet name="Лист1" sheetId="1" r:id="rId1"/>
    <sheet name="Лист2" sheetId="2" r:id="rId2"/>
  </sheets>
  <definedNames>
    <definedName name="_xlnm.Print_Area" localSheetId="0">Лист1!$A$1:$L$201</definedName>
  </definedNames>
  <calcPr calcId="152511"/>
</workbook>
</file>

<file path=xl/calcChain.xml><?xml version="1.0" encoding="utf-8"?>
<calcChain xmlns="http://schemas.openxmlformats.org/spreadsheetml/2006/main">
  <c r="J87" i="1" l="1"/>
  <c r="I87" i="1"/>
  <c r="H87" i="1"/>
  <c r="G87" i="1"/>
  <c r="J6" i="1" l="1"/>
  <c r="I6" i="1"/>
  <c r="H6" i="1"/>
  <c r="G6" i="1"/>
  <c r="L158" i="1" l="1"/>
  <c r="L85" i="1"/>
  <c r="F85" i="1"/>
  <c r="J173" i="1" l="1"/>
  <c r="I173" i="1"/>
  <c r="H173" i="1"/>
  <c r="G173" i="1"/>
  <c r="J50" i="1" l="1"/>
  <c r="I50" i="1"/>
  <c r="H50" i="1"/>
  <c r="G50" i="1"/>
  <c r="H51" i="1"/>
  <c r="J178" i="1" l="1"/>
  <c r="I178" i="1"/>
  <c r="H178" i="1"/>
  <c r="G178" i="1"/>
  <c r="J160" i="1"/>
  <c r="I160" i="1"/>
  <c r="H160" i="1"/>
  <c r="G160" i="1"/>
  <c r="H152" i="1"/>
  <c r="J155" i="1"/>
  <c r="I155" i="1"/>
  <c r="H155" i="1"/>
  <c r="G155" i="1"/>
  <c r="F158" i="1"/>
  <c r="J177" i="1" l="1"/>
  <c r="I177" i="1"/>
  <c r="H177" i="1"/>
  <c r="G177" i="1"/>
  <c r="J170" i="1" l="1"/>
  <c r="I170" i="1"/>
  <c r="H170" i="1"/>
  <c r="G170" i="1"/>
  <c r="J159" i="1"/>
  <c r="I159" i="1"/>
  <c r="H159" i="1"/>
  <c r="G159" i="1"/>
  <c r="J162" i="1"/>
  <c r="I162" i="1"/>
  <c r="H162" i="1"/>
  <c r="G162" i="1"/>
  <c r="J161" i="1"/>
  <c r="I161" i="1"/>
  <c r="H161" i="1"/>
  <c r="G161" i="1"/>
  <c r="J165" i="1"/>
  <c r="I165" i="1"/>
  <c r="H165" i="1"/>
  <c r="G165" i="1"/>
  <c r="J164" i="1"/>
  <c r="I164" i="1"/>
  <c r="H164" i="1"/>
  <c r="G164" i="1"/>
  <c r="G156" i="1"/>
  <c r="H156" i="1"/>
  <c r="I156" i="1"/>
  <c r="J156" i="1"/>
  <c r="J153" i="1"/>
  <c r="I153" i="1"/>
  <c r="H153" i="1"/>
  <c r="G153" i="1"/>
  <c r="J152" i="1"/>
  <c r="I152" i="1"/>
  <c r="H158" i="1"/>
  <c r="G152" i="1"/>
  <c r="G158" i="1" s="1"/>
  <c r="J142" i="1"/>
  <c r="I142" i="1"/>
  <c r="H142" i="1"/>
  <c r="G142" i="1"/>
  <c r="J141" i="1"/>
  <c r="I141" i="1"/>
  <c r="H141" i="1"/>
  <c r="G141" i="1"/>
  <c r="J144" i="1"/>
  <c r="I144" i="1"/>
  <c r="H144" i="1"/>
  <c r="G144" i="1"/>
  <c r="J147" i="1"/>
  <c r="I147" i="1"/>
  <c r="H147" i="1"/>
  <c r="G147" i="1"/>
  <c r="J146" i="1"/>
  <c r="I146" i="1"/>
  <c r="H146" i="1"/>
  <c r="G146" i="1"/>
  <c r="J134" i="1"/>
  <c r="I134" i="1"/>
  <c r="H134" i="1"/>
  <c r="G134" i="1"/>
  <c r="J137" i="1"/>
  <c r="I137" i="1"/>
  <c r="H137" i="1"/>
  <c r="G137" i="1"/>
  <c r="J136" i="1"/>
  <c r="I136" i="1"/>
  <c r="H136" i="1"/>
  <c r="G136" i="1"/>
  <c r="J133" i="1"/>
  <c r="I133" i="1"/>
  <c r="H133" i="1"/>
  <c r="H140" i="1" s="1"/>
  <c r="G133" i="1"/>
  <c r="J125" i="1"/>
  <c r="I125" i="1"/>
  <c r="H125" i="1"/>
  <c r="G125" i="1"/>
  <c r="J124" i="1"/>
  <c r="I124" i="1"/>
  <c r="H124" i="1"/>
  <c r="G124" i="1"/>
  <c r="J127" i="1"/>
  <c r="I127" i="1"/>
  <c r="H127" i="1"/>
  <c r="G127" i="1"/>
  <c r="J123" i="1"/>
  <c r="I123" i="1"/>
  <c r="H123" i="1"/>
  <c r="G123" i="1"/>
  <c r="J122" i="1"/>
  <c r="I122" i="1"/>
  <c r="H122" i="1"/>
  <c r="G122" i="1"/>
  <c r="J115" i="1"/>
  <c r="I115" i="1"/>
  <c r="H115" i="1"/>
  <c r="G115" i="1"/>
  <c r="F113" i="1"/>
  <c r="J109" i="1"/>
  <c r="I109" i="1"/>
  <c r="H109" i="1"/>
  <c r="G109" i="1"/>
  <c r="J105" i="1"/>
  <c r="I105" i="1"/>
  <c r="H105" i="1"/>
  <c r="G105" i="1"/>
  <c r="J104" i="1"/>
  <c r="I104" i="1"/>
  <c r="H104" i="1"/>
  <c r="G104" i="1"/>
  <c r="J97" i="1"/>
  <c r="I97" i="1"/>
  <c r="H97" i="1"/>
  <c r="G97" i="1"/>
  <c r="J99" i="1"/>
  <c r="I99" i="1"/>
  <c r="H99" i="1"/>
  <c r="G99" i="1"/>
  <c r="J100" i="1"/>
  <c r="I100" i="1"/>
  <c r="H100" i="1"/>
  <c r="G100" i="1"/>
  <c r="J101" i="1"/>
  <c r="I101" i="1"/>
  <c r="H101" i="1"/>
  <c r="G101" i="1"/>
  <c r="J91" i="1"/>
  <c r="I91" i="1"/>
  <c r="H91" i="1"/>
  <c r="G91" i="1"/>
  <c r="J86" i="1"/>
  <c r="I86" i="1"/>
  <c r="H86" i="1"/>
  <c r="G86" i="1"/>
  <c r="J88" i="1"/>
  <c r="I88" i="1"/>
  <c r="H88" i="1"/>
  <c r="G88" i="1"/>
  <c r="J89" i="1"/>
  <c r="I89" i="1"/>
  <c r="H89" i="1"/>
  <c r="G89" i="1"/>
  <c r="J92" i="1"/>
  <c r="I92" i="1"/>
  <c r="H92" i="1"/>
  <c r="G92" i="1"/>
  <c r="J158" i="1" l="1"/>
  <c r="I158" i="1"/>
  <c r="J80" i="1"/>
  <c r="I80" i="1"/>
  <c r="H80" i="1"/>
  <c r="G80" i="1"/>
  <c r="J82" i="1"/>
  <c r="I82" i="1"/>
  <c r="H82" i="1"/>
  <c r="G82" i="1"/>
  <c r="J68" i="1"/>
  <c r="I68" i="1"/>
  <c r="H68" i="1"/>
  <c r="G68" i="1"/>
  <c r="J71" i="1"/>
  <c r="I71" i="1"/>
  <c r="H71" i="1"/>
  <c r="G71" i="1"/>
  <c r="J107" i="1"/>
  <c r="I107" i="1"/>
  <c r="H107" i="1"/>
  <c r="G107" i="1"/>
  <c r="J70" i="1"/>
  <c r="I70" i="1"/>
  <c r="H70" i="1"/>
  <c r="G70" i="1"/>
  <c r="J69" i="1"/>
  <c r="J60" i="1" l="1"/>
  <c r="I60" i="1"/>
  <c r="H60" i="1"/>
  <c r="G60" i="1"/>
  <c r="J63" i="1"/>
  <c r="I63" i="1"/>
  <c r="H63" i="1"/>
  <c r="G63" i="1"/>
  <c r="J62" i="1"/>
  <c r="I62" i="1"/>
  <c r="H62" i="1"/>
  <c r="G62" i="1"/>
  <c r="J49" i="1"/>
  <c r="I49" i="1"/>
  <c r="H49" i="1"/>
  <c r="G49" i="1"/>
  <c r="J51" i="1"/>
  <c r="I51" i="1"/>
  <c r="G51" i="1"/>
  <c r="J55" i="1"/>
  <c r="I55" i="1"/>
  <c r="H55" i="1"/>
  <c r="G55" i="1"/>
  <c r="J54" i="1"/>
  <c r="I54" i="1"/>
  <c r="H54" i="1"/>
  <c r="G54" i="1"/>
  <c r="J52" i="1"/>
  <c r="I52" i="1"/>
  <c r="H52" i="1"/>
  <c r="G52" i="1"/>
  <c r="H58" i="1" l="1"/>
  <c r="H31" i="1"/>
  <c r="J33" i="1"/>
  <c r="I33" i="1"/>
  <c r="H33" i="1"/>
  <c r="G33" i="1"/>
  <c r="J35" i="1"/>
  <c r="I35" i="1"/>
  <c r="H35" i="1"/>
  <c r="G35" i="1"/>
  <c r="J32" i="1"/>
  <c r="I32" i="1"/>
  <c r="H32" i="1"/>
  <c r="G32" i="1"/>
  <c r="J31" i="1"/>
  <c r="I31" i="1"/>
  <c r="G31" i="1"/>
  <c r="J25" i="1" l="1"/>
  <c r="I25" i="1"/>
  <c r="H25" i="1"/>
  <c r="G25" i="1"/>
  <c r="J24" i="1"/>
  <c r="I24" i="1"/>
  <c r="H24" i="1"/>
  <c r="G24" i="1"/>
  <c r="G27" i="1"/>
  <c r="H27" i="1"/>
  <c r="I27" i="1"/>
  <c r="J27" i="1"/>
  <c r="G28" i="1"/>
  <c r="H28" i="1"/>
  <c r="I28" i="1"/>
  <c r="J28" i="1"/>
  <c r="J8" i="1"/>
  <c r="I8" i="1"/>
  <c r="H8" i="1"/>
  <c r="G8" i="1"/>
  <c r="J14" i="1"/>
  <c r="I14" i="1"/>
  <c r="H14" i="1"/>
  <c r="G14" i="1"/>
  <c r="J13" i="1"/>
  <c r="I13" i="1"/>
  <c r="H13" i="1"/>
  <c r="G13" i="1"/>
  <c r="J15" i="1"/>
  <c r="I15" i="1"/>
  <c r="H15" i="1"/>
  <c r="G15" i="1"/>
  <c r="J16" i="1"/>
  <c r="I16" i="1"/>
  <c r="H16" i="1"/>
  <c r="G16" i="1"/>
  <c r="J18" i="1"/>
  <c r="I18" i="1"/>
  <c r="H18" i="1"/>
  <c r="G18" i="1"/>
  <c r="J19" i="1"/>
  <c r="I19" i="1"/>
  <c r="H19" i="1"/>
  <c r="G19" i="1"/>
  <c r="J10" i="1"/>
  <c r="I10" i="1"/>
  <c r="H10" i="1"/>
  <c r="G10" i="1"/>
  <c r="J9" i="1"/>
  <c r="I9" i="1"/>
  <c r="H9" i="1"/>
  <c r="G9" i="1"/>
  <c r="G12" i="1" l="1"/>
  <c r="J118" i="1"/>
  <c r="I118" i="1"/>
  <c r="H118" i="1"/>
  <c r="G118" i="1"/>
  <c r="J117" i="1"/>
  <c r="I117" i="1"/>
  <c r="H117" i="1"/>
  <c r="G117" i="1"/>
  <c r="L186" i="1" l="1"/>
  <c r="F186" i="1"/>
  <c r="J183" i="1"/>
  <c r="I183" i="1"/>
  <c r="H183" i="1"/>
  <c r="G183" i="1"/>
  <c r="J182" i="1"/>
  <c r="I182" i="1"/>
  <c r="H182" i="1"/>
  <c r="G182" i="1"/>
  <c r="J180" i="1"/>
  <c r="I180" i="1"/>
  <c r="H180" i="1"/>
  <c r="G180" i="1"/>
  <c r="J179" i="1"/>
  <c r="I179" i="1"/>
  <c r="I186" i="1" s="1"/>
  <c r="H179" i="1"/>
  <c r="G179" i="1"/>
  <c r="J186" i="1"/>
  <c r="H186" i="1"/>
  <c r="G186" i="1"/>
  <c r="L176" i="1"/>
  <c r="F176" i="1"/>
  <c r="F187" i="1" s="1"/>
  <c r="J174" i="1"/>
  <c r="I174" i="1"/>
  <c r="H174" i="1"/>
  <c r="G174" i="1"/>
  <c r="J171" i="1"/>
  <c r="I171" i="1"/>
  <c r="H171" i="1"/>
  <c r="G171" i="1"/>
  <c r="J176" i="1"/>
  <c r="I176" i="1"/>
  <c r="H176" i="1"/>
  <c r="G176" i="1"/>
  <c r="G187" i="1" s="1"/>
  <c r="L168" i="1"/>
  <c r="L169" i="1" s="1"/>
  <c r="F168" i="1"/>
  <c r="F169" i="1" s="1"/>
  <c r="G168" i="1"/>
  <c r="B151" i="1"/>
  <c r="A151" i="1"/>
  <c r="L150" i="1"/>
  <c r="F150" i="1"/>
  <c r="J150" i="1"/>
  <c r="I150" i="1"/>
  <c r="G150" i="1"/>
  <c r="H150" i="1"/>
  <c r="B141" i="1"/>
  <c r="A141" i="1"/>
  <c r="L140" i="1"/>
  <c r="F140" i="1"/>
  <c r="B132" i="1"/>
  <c r="A132" i="1"/>
  <c r="L131" i="1"/>
  <c r="F131" i="1"/>
  <c r="J128" i="1"/>
  <c r="J131" i="1" s="1"/>
  <c r="I128" i="1"/>
  <c r="H128" i="1"/>
  <c r="G128" i="1"/>
  <c r="I131" i="1"/>
  <c r="H131" i="1"/>
  <c r="G131" i="1"/>
  <c r="B122" i="1"/>
  <c r="A122" i="1"/>
  <c r="L121" i="1"/>
  <c r="F121" i="1"/>
  <c r="F132" i="1" s="1"/>
  <c r="J121" i="1"/>
  <c r="I121" i="1"/>
  <c r="I132" i="1" s="1"/>
  <c r="H121" i="1"/>
  <c r="G121" i="1"/>
  <c r="G132" i="1" s="1"/>
  <c r="B114" i="1"/>
  <c r="A114" i="1"/>
  <c r="L113" i="1"/>
  <c r="J110" i="1"/>
  <c r="I110" i="1"/>
  <c r="H110" i="1"/>
  <c r="G110" i="1"/>
  <c r="J106" i="1"/>
  <c r="J113" i="1" s="1"/>
  <c r="I106" i="1"/>
  <c r="H106" i="1"/>
  <c r="H113" i="1" s="1"/>
  <c r="G106" i="1"/>
  <c r="G113" i="1" s="1"/>
  <c r="B104" i="1"/>
  <c r="A104" i="1"/>
  <c r="L103" i="1"/>
  <c r="F103" i="1"/>
  <c r="I103" i="1"/>
  <c r="H103" i="1"/>
  <c r="B96" i="1"/>
  <c r="A96" i="1"/>
  <c r="L95" i="1"/>
  <c r="F95" i="1"/>
  <c r="H95" i="1"/>
  <c r="J95" i="1"/>
  <c r="G95" i="1"/>
  <c r="B86" i="1"/>
  <c r="A86" i="1"/>
  <c r="J83" i="1"/>
  <c r="I83" i="1"/>
  <c r="H83" i="1"/>
  <c r="G83" i="1"/>
  <c r="G85" i="1" s="1"/>
  <c r="J85" i="1"/>
  <c r="I85" i="1"/>
  <c r="B78" i="1"/>
  <c r="A78" i="1"/>
  <c r="L77" i="1"/>
  <c r="F77" i="1"/>
  <c r="J74" i="1"/>
  <c r="I74" i="1"/>
  <c r="H74" i="1"/>
  <c r="G74" i="1"/>
  <c r="J73" i="1"/>
  <c r="I73" i="1"/>
  <c r="H73" i="1"/>
  <c r="G73" i="1"/>
  <c r="I69" i="1"/>
  <c r="H69" i="1"/>
  <c r="G69" i="1"/>
  <c r="B68" i="1"/>
  <c r="A68" i="1"/>
  <c r="L67" i="1"/>
  <c r="F67" i="1"/>
  <c r="J67" i="1"/>
  <c r="I67" i="1"/>
  <c r="H67" i="1"/>
  <c r="G67" i="1"/>
  <c r="B59" i="1"/>
  <c r="A59" i="1"/>
  <c r="L58" i="1"/>
  <c r="F58" i="1"/>
  <c r="B49" i="1"/>
  <c r="A49" i="1"/>
  <c r="L48" i="1"/>
  <c r="F48" i="1"/>
  <c r="J46" i="1"/>
  <c r="I46" i="1"/>
  <c r="H46" i="1"/>
  <c r="G46" i="1"/>
  <c r="J45" i="1"/>
  <c r="I45" i="1"/>
  <c r="H45" i="1"/>
  <c r="G45" i="1"/>
  <c r="J43" i="1"/>
  <c r="I43" i="1"/>
  <c r="H43" i="1"/>
  <c r="G43" i="1"/>
  <c r="J42" i="1"/>
  <c r="J48" i="1" s="1"/>
  <c r="I42" i="1"/>
  <c r="I48" i="1" s="1"/>
  <c r="H42" i="1"/>
  <c r="H48" i="1" s="1"/>
  <c r="G42" i="1"/>
  <c r="G48" i="1" s="1"/>
  <c r="B40" i="1"/>
  <c r="A40" i="1"/>
  <c r="L39" i="1"/>
  <c r="F39" i="1"/>
  <c r="J36" i="1"/>
  <c r="I36" i="1"/>
  <c r="H36" i="1"/>
  <c r="H39" i="1" s="1"/>
  <c r="G36" i="1"/>
  <c r="G39" i="1" s="1"/>
  <c r="J39" i="1"/>
  <c r="L30" i="1"/>
  <c r="F30" i="1"/>
  <c r="J30" i="1"/>
  <c r="I30" i="1"/>
  <c r="H30" i="1"/>
  <c r="G30" i="1"/>
  <c r="B23" i="1"/>
  <c r="A23" i="1"/>
  <c r="L22" i="1"/>
  <c r="F22" i="1"/>
  <c r="H22" i="1"/>
  <c r="J22" i="1"/>
  <c r="I22" i="1"/>
  <c r="B13" i="1"/>
  <c r="A13" i="1"/>
  <c r="L12" i="1"/>
  <c r="F12" i="1"/>
  <c r="I12" i="1"/>
  <c r="H12" i="1"/>
  <c r="I187" i="1" l="1"/>
  <c r="L187" i="1"/>
  <c r="J187" i="1"/>
  <c r="L132" i="1"/>
  <c r="L114" i="1"/>
  <c r="I113" i="1"/>
  <c r="G169" i="1"/>
  <c r="G96" i="1"/>
  <c r="I168" i="1"/>
  <c r="I169" i="1" s="1"/>
  <c r="F40" i="1"/>
  <c r="I39" i="1"/>
  <c r="I40" i="1" s="1"/>
  <c r="I114" i="1"/>
  <c r="G140" i="1"/>
  <c r="G151" i="1" s="1"/>
  <c r="I140" i="1"/>
  <c r="I151" i="1" s="1"/>
  <c r="H168" i="1"/>
  <c r="H169" i="1" s="1"/>
  <c r="J168" i="1"/>
  <c r="J169" i="1" s="1"/>
  <c r="G22" i="1"/>
  <c r="F114" i="1"/>
  <c r="H59" i="1"/>
  <c r="J58" i="1"/>
  <c r="J59" i="1" s="1"/>
  <c r="H151" i="1"/>
  <c r="J140" i="1"/>
  <c r="J151" i="1" s="1"/>
  <c r="F151" i="1"/>
  <c r="L151" i="1"/>
  <c r="J103" i="1"/>
  <c r="H114" i="1"/>
  <c r="J132" i="1"/>
  <c r="J12" i="1"/>
  <c r="J23" i="1" s="1"/>
  <c r="F78" i="1"/>
  <c r="G77" i="1"/>
  <c r="G78" i="1" s="1"/>
  <c r="I77" i="1"/>
  <c r="I78" i="1" s="1"/>
  <c r="G103" i="1"/>
  <c r="G114" i="1" s="1"/>
  <c r="H132" i="1"/>
  <c r="H187" i="1"/>
  <c r="H77" i="1"/>
  <c r="H78" i="1" s="1"/>
  <c r="J77" i="1"/>
  <c r="J78" i="1" s="1"/>
  <c r="F59" i="1"/>
  <c r="G58" i="1"/>
  <c r="G59" i="1" s="1"/>
  <c r="I58" i="1"/>
  <c r="I59" i="1" s="1"/>
  <c r="L78" i="1"/>
  <c r="H85" i="1"/>
  <c r="H96" i="1" s="1"/>
  <c r="L96" i="1"/>
  <c r="F96" i="1"/>
  <c r="I95" i="1"/>
  <c r="I96" i="1" s="1"/>
  <c r="J96" i="1"/>
  <c r="L59" i="1"/>
  <c r="L40" i="1"/>
  <c r="G40" i="1"/>
  <c r="H40" i="1"/>
  <c r="J40" i="1"/>
  <c r="L23" i="1"/>
  <c r="F23" i="1"/>
  <c r="H23" i="1"/>
  <c r="I23" i="1"/>
  <c r="L188" i="1" l="1"/>
  <c r="I188" i="1"/>
  <c r="H188" i="1"/>
  <c r="J114" i="1"/>
  <c r="J188" i="1" s="1"/>
  <c r="F188" i="1"/>
  <c r="G23" i="1"/>
  <c r="G188" i="1" s="1"/>
</calcChain>
</file>

<file path=xl/sharedStrings.xml><?xml version="1.0" encoding="utf-8"?>
<sst xmlns="http://schemas.openxmlformats.org/spreadsheetml/2006/main" count="401" uniqueCount="159">
  <si>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</si>
  <si>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</si>
  <si>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</si>
  <si>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</si>
  <si>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</si>
  <si>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</si>
  <si>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</si>
  <si>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</si>
  <si>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</si>
  <si>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</si>
  <si>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</si>
  <si>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</si>
  <si>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</si>
  <si>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</si>
  <si>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</si>
  <si>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</si>
  <si>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</si>
  <si>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</si>
  <si>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</si>
  <si>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</si>
  <si>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</si>
  <si>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</si>
  <si>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</si>
  <si>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</si>
  <si>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</si>
  <si>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Кофейный напиток на молоке</t>
  </si>
  <si>
    <t>хлеб</t>
  </si>
  <si>
    <t>пром</t>
  </si>
  <si>
    <t>Бутерброд с сыром</t>
  </si>
  <si>
    <t>итого</t>
  </si>
  <si>
    <t>Обед</t>
  </si>
  <si>
    <t>закуска</t>
  </si>
  <si>
    <t>1 блюдо</t>
  </si>
  <si>
    <t>2 блюдо</t>
  </si>
  <si>
    <t>гарнир</t>
  </si>
  <si>
    <t>Макароны отварные</t>
  </si>
  <si>
    <t>Компот из кураги и яблок</t>
  </si>
  <si>
    <t>хлеб бел.</t>
  </si>
  <si>
    <t>Хлеб пшеничный витаминизированный</t>
  </si>
  <si>
    <t>хлеб черн.</t>
  </si>
  <si>
    <t>Итого за день:</t>
  </si>
  <si>
    <t xml:space="preserve">пром </t>
  </si>
  <si>
    <t xml:space="preserve">Котлета из кур </t>
  </si>
  <si>
    <t>Напиток "Золотой шар"</t>
  </si>
  <si>
    <t>37.2</t>
  </si>
  <si>
    <t>Голень или бедро птицы отварное</t>
  </si>
  <si>
    <t>Компот из сухофруктов</t>
  </si>
  <si>
    <t>Суп-лапша на куринном бульоне с зеленью</t>
  </si>
  <si>
    <t>Каша гречневая рассыпчатая</t>
  </si>
  <si>
    <t>Кисель из ягод</t>
  </si>
  <si>
    <t xml:space="preserve">Суп картофельный с рыбной консервой </t>
  </si>
  <si>
    <t>73</t>
  </si>
  <si>
    <t>Колбаски "Витаминные"</t>
  </si>
  <si>
    <t>64</t>
  </si>
  <si>
    <t>Компот из яблок и изюма</t>
  </si>
  <si>
    <t>23</t>
  </si>
  <si>
    <t>Картофельное пюре</t>
  </si>
  <si>
    <t>36.10</t>
  </si>
  <si>
    <t>32.1</t>
  </si>
  <si>
    <t xml:space="preserve">Плов </t>
  </si>
  <si>
    <t>Напиток из шиповника</t>
  </si>
  <si>
    <t>37.10</t>
  </si>
  <si>
    <t>Каша пшеничная молочная с маслом сливочным</t>
  </si>
  <si>
    <t>32.10</t>
  </si>
  <si>
    <t>фрукт</t>
  </si>
  <si>
    <t>18.2</t>
  </si>
  <si>
    <t>Чай каркаде</t>
  </si>
  <si>
    <t>27.11</t>
  </si>
  <si>
    <t>Бутерброд с маслом</t>
  </si>
  <si>
    <t>39.3</t>
  </si>
  <si>
    <t xml:space="preserve">Суфле из мяса кур </t>
  </si>
  <si>
    <t>Винегрет овощной</t>
  </si>
  <si>
    <t>Тефтели рыбные  в соусе</t>
  </si>
  <si>
    <t>Мясо кур отварное в соусе</t>
  </si>
  <si>
    <t>46.3</t>
  </si>
  <si>
    <t>38.2</t>
  </si>
  <si>
    <t>Биточек мясной паровой</t>
  </si>
  <si>
    <t>Рагу из овощей</t>
  </si>
  <si>
    <t>32/3</t>
  </si>
  <si>
    <t>44357</t>
  </si>
  <si>
    <t>Среднее значение за период:</t>
  </si>
  <si>
    <t>Гренки</t>
  </si>
  <si>
    <t>Фрукты</t>
  </si>
  <si>
    <t>90</t>
  </si>
  <si>
    <t>16.2</t>
  </si>
  <si>
    <t>16.81</t>
  </si>
  <si>
    <t>Суфле "Рыбка"</t>
  </si>
  <si>
    <t>Салат из отварной свеклы с растительным маслом</t>
  </si>
  <si>
    <t xml:space="preserve">хлеб </t>
  </si>
  <si>
    <t xml:space="preserve">Суп-пюре картофельный </t>
  </si>
  <si>
    <t>29/2</t>
  </si>
  <si>
    <t>40/2</t>
  </si>
  <si>
    <t>Салат из св капусты с св огурцом с растител маслом и зеленью</t>
  </si>
  <si>
    <t>Председатель Правления ПК"СЫСЕРТСКОЕ РАЙПО"</t>
  </si>
  <si>
    <t>Шалапугина Н.В.</t>
  </si>
  <si>
    <t>40/3</t>
  </si>
  <si>
    <t>сладкое</t>
  </si>
  <si>
    <t>Тефтели мясные с рисом паровые</t>
  </si>
  <si>
    <t>Суп картофельный с макаронными изделиями и мясом</t>
  </si>
  <si>
    <t>Запеканка из творога с рисом со сгущенным молоком</t>
  </si>
  <si>
    <t>Суп крестьянский с крупой и сметаной и мясом</t>
  </si>
  <si>
    <t>16.4</t>
  </si>
  <si>
    <t>44240</t>
  </si>
  <si>
    <t>Салат из свежих овощей с маслом растительным и зеленью</t>
  </si>
  <si>
    <t>Суп картофельный с бобовыми</t>
  </si>
  <si>
    <t>Суп из овощей со сметаной и зеленью</t>
  </si>
  <si>
    <t>Какао на молоке</t>
  </si>
  <si>
    <t>Салат из картофеля с соленым огурцом,луком и растительным маслом</t>
  </si>
  <si>
    <t>41/1</t>
  </si>
  <si>
    <t>22.2</t>
  </si>
  <si>
    <t>Мясо, тушеное с овощами</t>
  </si>
  <si>
    <t>Чай с лимоном</t>
  </si>
  <si>
    <t>29.10</t>
  </si>
  <si>
    <t>Салат из белокачанной капусты с морковью и растительным маслом и зеленью</t>
  </si>
  <si>
    <t>44348</t>
  </si>
  <si>
    <t>Омлет натуральный</t>
  </si>
  <si>
    <t>Чай с сахаром</t>
  </si>
  <si>
    <t>44233</t>
  </si>
  <si>
    <t>27.10</t>
  </si>
  <si>
    <t>Салат из моркови с яблоками и растительным маслом</t>
  </si>
  <si>
    <t>Борщ из капусты с картофелем, сметаной,мясом и зеленью</t>
  </si>
  <si>
    <t>Биточки из говядины паровые</t>
  </si>
  <si>
    <t>17/1</t>
  </si>
  <si>
    <t>44257</t>
  </si>
  <si>
    <t>16.8</t>
  </si>
  <si>
    <t>Каша  молочная рисовая с маслом сливочным</t>
  </si>
  <si>
    <t xml:space="preserve">Компот из кураги </t>
  </si>
  <si>
    <t>16</t>
  </si>
  <si>
    <t>Рассольник с крупой,  сметаной, мясом и зеленью</t>
  </si>
  <si>
    <t>Компот из свежих фруктов</t>
  </si>
  <si>
    <t>44265</t>
  </si>
  <si>
    <t>Каша гречневая рассыпчатая с овощами</t>
  </si>
  <si>
    <t>Салат "Фантазия"</t>
  </si>
  <si>
    <t>Щи с капустой и картофелем со сметаной,мясом и зеленью</t>
  </si>
  <si>
    <t>13/1,1</t>
  </si>
  <si>
    <t>18.7</t>
  </si>
  <si>
    <t>44258</t>
  </si>
  <si>
    <t>948</t>
  </si>
  <si>
    <t>Чай ягодный</t>
  </si>
  <si>
    <t>Салат из огурцов и помидоров с маслом растительным и зеленью</t>
  </si>
  <si>
    <t>Рис припущенный</t>
  </si>
  <si>
    <t>Компот из кураги и изюма</t>
  </si>
  <si>
    <t>21/1</t>
  </si>
  <si>
    <t>305</t>
  </si>
  <si>
    <t>44510</t>
  </si>
  <si>
    <t>44417</t>
  </si>
  <si>
    <t>Салат из отварной свеклы с сыром и растительным маслом</t>
  </si>
  <si>
    <t>40</t>
  </si>
  <si>
    <t>12-18 лет</t>
  </si>
  <si>
    <t>36.81</t>
  </si>
  <si>
    <t>Яйцо отварное</t>
  </si>
  <si>
    <t>44202</t>
  </si>
  <si>
    <t>Салат из свежей капусты, огурца с растительным масло и зеленью</t>
  </si>
  <si>
    <t>Салат из огурцов, помидор с растительным маслом и зеленью</t>
  </si>
  <si>
    <t>Салат из помидор, огурцов с растительным маслом</t>
  </si>
  <si>
    <t>Зеленый горошек</t>
  </si>
  <si>
    <t>МАОУ СОШ №10 д.Б.Седельниково</t>
  </si>
  <si>
    <t>Хлеб ржано-пшеничный</t>
  </si>
  <si>
    <t xml:space="preserve">Капуста тушеная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</si>
</sst>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10"/>
      <color theme="1"/>
      <name val="Arial"/>
      <charset val="204"/>
    </font>
    <font>
      <i/>
      <sz val="12"/>
      <color theme="1"/>
      <name val="Times New Roman"/>
      <charset val="204"/>
    </font>
    <font>
      <b/>
      <sz val="12"/>
      <color rgb="FF2D2D2D"/>
      <name val="Times New Roman"/>
      <charset val="204"/>
    </font>
    <font>
      <b/>
      <sz val="12"/>
      <color theme="1"/>
      <name val="Times New Roman"/>
      <charset val="204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2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1"/>
      <color theme="1"/>
      <name val="Arial"/>
      <family val="2"/>
      <charset val="204"/>
    </font>
    <font>
      <sz val="11"/>
      <color rgb="FF2D2D2D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23" fillId="0" borderId="0"/>
    <xf numFmtId="0" fontId="30" fillId="0" borderId="0"/>
    <xf numFmtId="0" fontId="31" fillId="0" borderId="0"/>
    <xf numFmtId="0" fontId="23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58">
    <xf numFmtId="0" fontId="0" fillId="0" borderId="0" xfId="0"/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2" borderId="1" xfId="0" applyFont="1" applyFill="1" applyBorder="1" applyProtection="1"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/>
    <xf numFmtId="2" fontId="16" fillId="0" borderId="1" xfId="0" applyNumberFormat="1" applyFont="1" applyBorder="1" applyAlignment="1" applyProtection="1">
      <alignment horizontal="left" vertical="center"/>
      <protection locked="0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1" xfId="0" applyFont="1" applyBorder="1"/>
    <xf numFmtId="2" fontId="15" fillId="0" borderId="1" xfId="0" applyNumberFormat="1" applyFont="1" applyBorder="1" applyAlignment="1">
      <alignment horizontal="left" vertical="center"/>
    </xf>
    <xf numFmtId="2" fontId="16" fillId="0" borderId="1" xfId="0" applyNumberFormat="1" applyFont="1" applyBorder="1" applyAlignment="1">
      <alignment horizontal="left" vertical="center"/>
    </xf>
    <xf numFmtId="2" fontId="15" fillId="0" borderId="1" xfId="0" applyNumberFormat="1" applyFont="1" applyBorder="1" applyAlignment="1">
      <alignment vertical="center" wrapText="1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2" xfId="0" applyFont="1" applyBorder="1"/>
    <xf numFmtId="0" fontId="7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center" vertical="top" wrapText="1"/>
    </xf>
    <xf numFmtId="2" fontId="17" fillId="0" borderId="1" xfId="0" applyNumberFormat="1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5" xfId="0" applyFont="1" applyBorder="1"/>
    <xf numFmtId="2" fontId="15" fillId="0" borderId="1" xfId="0" applyNumberFormat="1" applyFont="1" applyFill="1" applyBorder="1" applyAlignment="1">
      <alignment vertical="center"/>
    </xf>
    <xf numFmtId="2" fontId="15" fillId="0" borderId="1" xfId="0" applyNumberFormat="1" applyFont="1" applyBorder="1" applyAlignment="1">
      <alignment vertical="center"/>
    </xf>
    <xf numFmtId="0" fontId="14" fillId="3" borderId="16" xfId="0" applyFont="1" applyFill="1" applyBorder="1" applyAlignment="1">
      <alignment horizontal="center"/>
    </xf>
    <xf numFmtId="0" fontId="14" fillId="3" borderId="17" xfId="0" applyFont="1" applyFill="1" applyBorder="1" applyAlignment="1">
      <alignment horizontal="center"/>
    </xf>
    <xf numFmtId="0" fontId="7" fillId="3" borderId="17" xfId="0" applyFont="1" applyFill="1" applyBorder="1" applyAlignment="1">
      <alignment vertical="top" wrapText="1"/>
    </xf>
    <xf numFmtId="0" fontId="17" fillId="3" borderId="17" xfId="0" applyFont="1" applyFill="1" applyBorder="1" applyAlignment="1">
      <alignment horizontal="center" vertical="top" wrapText="1"/>
    </xf>
    <xf numFmtId="0" fontId="14" fillId="0" borderId="11" xfId="0" applyFont="1" applyBorder="1" applyAlignment="1">
      <alignment horizontal="center"/>
    </xf>
    <xf numFmtId="2" fontId="15" fillId="0" borderId="1" xfId="0" applyNumberFormat="1" applyFont="1" applyBorder="1" applyAlignment="1">
      <alignment horizontal="left" vertical="center" wrapText="1"/>
    </xf>
    <xf numFmtId="2" fontId="15" fillId="0" borderId="0" xfId="0" applyNumberFormat="1" applyFont="1" applyAlignment="1">
      <alignment horizontal="left" vertical="center" wrapText="1"/>
    </xf>
    <xf numFmtId="2" fontId="16" fillId="0" borderId="1" xfId="0" applyNumberFormat="1" applyFont="1" applyFill="1" applyBorder="1" applyAlignment="1">
      <alignment horizontal="left" vertical="center"/>
    </xf>
    <xf numFmtId="2" fontId="17" fillId="2" borderId="1" xfId="0" applyNumberFormat="1" applyFont="1" applyFill="1" applyBorder="1" applyAlignment="1" applyProtection="1">
      <alignment horizontal="center" vertical="top" wrapText="1"/>
      <protection locked="0"/>
    </xf>
    <xf numFmtId="0" fontId="14" fillId="0" borderId="2" xfId="0" applyFont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2" fontId="17" fillId="3" borderId="17" xfId="0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2" fontId="17" fillId="2" borderId="8" xfId="0" applyNumberFormat="1" applyFont="1" applyFill="1" applyBorder="1" applyAlignment="1" applyProtection="1">
      <alignment horizontal="center" vertical="top" wrapText="1"/>
      <protection locked="0"/>
    </xf>
    <xf numFmtId="2" fontId="17" fillId="2" borderId="21" xfId="0" applyNumberFormat="1" applyFont="1" applyFill="1" applyBorder="1" applyAlignment="1" applyProtection="1">
      <alignment horizontal="center" vertical="top" wrapText="1"/>
      <protection locked="0"/>
    </xf>
    <xf numFmtId="2" fontId="17" fillId="2" borderId="22" xfId="0" applyNumberFormat="1" applyFont="1" applyFill="1" applyBorder="1" applyAlignment="1" applyProtection="1">
      <alignment horizontal="center" vertical="top" wrapText="1"/>
      <protection locked="0"/>
    </xf>
    <xf numFmtId="2" fontId="16" fillId="0" borderId="1" xfId="0" applyNumberFormat="1" applyFont="1" applyBorder="1" applyAlignment="1">
      <alignment horizontal="left" vertical="center" wrapText="1"/>
    </xf>
    <xf numFmtId="2" fontId="16" fillId="0" borderId="1" xfId="0" applyNumberFormat="1" applyFont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  <xf numFmtId="2" fontId="17" fillId="0" borderId="4" xfId="0" applyNumberFormat="1" applyFont="1" applyBorder="1" applyAlignment="1">
      <alignment horizontal="center"/>
    </xf>
    <xf numFmtId="2" fontId="24" fillId="0" borderId="1" xfId="0" applyNumberFormat="1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2" fontId="24" fillId="0" borderId="1" xfId="0" applyNumberFormat="1" applyFont="1" applyBorder="1" applyAlignment="1">
      <alignment vertical="center" wrapText="1"/>
    </xf>
    <xf numFmtId="2" fontId="24" fillId="0" borderId="1" xfId="0" applyNumberFormat="1" applyFont="1" applyBorder="1" applyAlignment="1">
      <alignment horizontal="left" vertical="center"/>
    </xf>
    <xf numFmtId="0" fontId="7" fillId="0" borderId="0" xfId="0" applyFont="1" applyBorder="1"/>
    <xf numFmtId="0" fontId="14" fillId="0" borderId="0" xfId="0" applyFont="1" applyBorder="1"/>
    <xf numFmtId="2" fontId="15" fillId="0" borderId="0" xfId="0" applyNumberFormat="1" applyFont="1" applyBorder="1" applyAlignment="1">
      <alignment horizontal="left" vertical="center" wrapText="1"/>
    </xf>
    <xf numFmtId="2" fontId="16" fillId="0" borderId="0" xfId="0" applyNumberFormat="1" applyFont="1" applyBorder="1" applyAlignment="1">
      <alignment horizontal="left" vertical="center"/>
    </xf>
    <xf numFmtId="0" fontId="17" fillId="2" borderId="0" xfId="0" applyFont="1" applyFill="1" applyBorder="1" applyAlignment="1" applyProtection="1">
      <alignment horizontal="center" vertical="top" wrapText="1"/>
      <protection locked="0"/>
    </xf>
    <xf numFmtId="2" fontId="17" fillId="2" borderId="0" xfId="0" applyNumberFormat="1" applyFont="1" applyFill="1" applyBorder="1" applyAlignment="1" applyProtection="1">
      <alignment horizontal="center" vertical="top" wrapText="1"/>
      <protection locked="0"/>
    </xf>
    <xf numFmtId="0" fontId="14" fillId="2" borderId="0" xfId="0" applyFont="1" applyFill="1" applyBorder="1" applyProtection="1">
      <protection locked="0"/>
    </xf>
    <xf numFmtId="0" fontId="15" fillId="0" borderId="0" xfId="0" applyFont="1" applyBorder="1" applyAlignment="1">
      <alignment horizontal="left" vertical="center"/>
    </xf>
    <xf numFmtId="2" fontId="16" fillId="0" borderId="0" xfId="0" applyNumberFormat="1" applyFont="1" applyFill="1" applyBorder="1" applyAlignment="1">
      <alignment horizontal="left" vertical="center"/>
    </xf>
    <xf numFmtId="0" fontId="15" fillId="0" borderId="0" xfId="0" applyFont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/>
    </xf>
    <xf numFmtId="2" fontId="20" fillId="0" borderId="0" xfId="0" applyNumberFormat="1" applyFont="1" applyFill="1" applyBorder="1" applyAlignment="1">
      <alignment horizontal="left" vertical="center"/>
    </xf>
    <xf numFmtId="2" fontId="15" fillId="0" borderId="0" xfId="0" applyNumberFormat="1" applyFont="1" applyBorder="1" applyAlignment="1">
      <alignment horizontal="left" vertical="center"/>
    </xf>
    <xf numFmtId="2" fontId="17" fillId="0" borderId="1" xfId="0" applyNumberFormat="1" applyFont="1" applyFill="1" applyBorder="1" applyAlignment="1" applyProtection="1">
      <alignment horizontal="center" vertical="top" wrapText="1"/>
      <protection locked="0"/>
    </xf>
    <xf numFmtId="0" fontId="26" fillId="0" borderId="1" xfId="0" applyFont="1" applyFill="1" applyBorder="1" applyAlignment="1" applyProtection="1">
      <alignment vertical="top" wrapText="1"/>
      <protection locked="0"/>
    </xf>
    <xf numFmtId="2" fontId="28" fillId="0" borderId="1" xfId="0" applyNumberFormat="1" applyFont="1" applyFill="1" applyBorder="1" applyAlignment="1" applyProtection="1">
      <alignment horizontal="center" vertical="top" wrapText="1"/>
      <protection locked="0"/>
    </xf>
    <xf numFmtId="2" fontId="28" fillId="0" borderId="1" xfId="0" applyNumberFormat="1" applyFont="1" applyFill="1" applyBorder="1" applyAlignment="1" applyProtection="1">
      <alignment horizontal="left" vertical="top" wrapText="1"/>
      <protection locked="0"/>
    </xf>
    <xf numFmtId="0" fontId="14" fillId="0" borderId="1" xfId="0" applyFont="1" applyFill="1" applyBorder="1" applyProtection="1">
      <protection locked="0"/>
    </xf>
    <xf numFmtId="2" fontId="24" fillId="0" borderId="1" xfId="2" applyNumberFormat="1" applyFont="1" applyBorder="1" applyAlignment="1">
      <alignment vertical="center" wrapText="1"/>
    </xf>
    <xf numFmtId="2" fontId="24" fillId="0" borderId="1" xfId="2" applyNumberFormat="1" applyFont="1" applyBorder="1" applyAlignment="1">
      <alignment horizontal="left" vertical="center"/>
    </xf>
    <xf numFmtId="2" fontId="24" fillId="0" borderId="1" xfId="2" applyNumberFormat="1" applyFont="1" applyBorder="1" applyAlignment="1">
      <alignment vertical="center"/>
    </xf>
    <xf numFmtId="2" fontId="24" fillId="0" borderId="1" xfId="2" applyNumberFormat="1" applyFont="1" applyBorder="1" applyAlignment="1">
      <alignment horizontal="left" vertical="center" wrapText="1"/>
    </xf>
    <xf numFmtId="2" fontId="27" fillId="0" borderId="1" xfId="2" applyNumberFormat="1" applyFont="1" applyBorder="1" applyAlignment="1">
      <alignment horizontal="left" vertical="center"/>
    </xf>
    <xf numFmtId="2" fontId="24" fillId="0" borderId="1" xfId="2" applyNumberFormat="1" applyFont="1" applyBorder="1" applyAlignment="1">
      <alignment vertical="center"/>
    </xf>
    <xf numFmtId="2" fontId="24" fillId="0" borderId="0" xfId="2" applyNumberFormat="1" applyFont="1" applyAlignment="1">
      <alignment horizontal="left" vertical="center" wrapText="1"/>
    </xf>
    <xf numFmtId="0" fontId="24" fillId="0" borderId="1" xfId="2" applyFont="1" applyBorder="1" applyAlignment="1">
      <alignment horizontal="left" vertical="center"/>
    </xf>
    <xf numFmtId="2" fontId="24" fillId="0" borderId="1" xfId="2" applyNumberFormat="1" applyFont="1" applyFill="1" applyBorder="1" applyAlignment="1">
      <alignment vertical="center" wrapText="1"/>
    </xf>
    <xf numFmtId="2" fontId="27" fillId="0" borderId="1" xfId="2" applyNumberFormat="1" applyFont="1" applyBorder="1" applyAlignment="1">
      <alignment horizontal="left" vertical="center"/>
    </xf>
    <xf numFmtId="2" fontId="27" fillId="0" borderId="1" xfId="2" applyNumberFormat="1" applyFont="1" applyFill="1" applyBorder="1" applyAlignment="1">
      <alignment horizontal="left" vertical="center"/>
    </xf>
    <xf numFmtId="2" fontId="24" fillId="0" borderId="1" xfId="2" applyNumberFormat="1" applyFont="1" applyBorder="1" applyAlignment="1">
      <alignment horizontal="left" vertical="center"/>
    </xf>
    <xf numFmtId="2" fontId="24" fillId="0" borderId="1" xfId="2" applyNumberFormat="1" applyFont="1" applyBorder="1" applyAlignment="1">
      <alignment vertical="center"/>
    </xf>
    <xf numFmtId="0" fontId="24" fillId="0" borderId="1" xfId="2" applyFont="1" applyBorder="1" applyAlignment="1">
      <alignment horizontal="left" vertical="center"/>
    </xf>
    <xf numFmtId="0" fontId="24" fillId="0" borderId="1" xfId="2" applyFont="1" applyBorder="1" applyAlignment="1">
      <alignment horizontal="left" vertical="center" wrapText="1"/>
    </xf>
    <xf numFmtId="0" fontId="24" fillId="0" borderId="1" xfId="2" applyFont="1" applyBorder="1" applyAlignment="1">
      <alignment horizontal="left" vertical="center"/>
    </xf>
    <xf numFmtId="0" fontId="24" fillId="0" borderId="1" xfId="2" applyFont="1" applyBorder="1" applyAlignment="1">
      <alignment horizontal="left" vertical="center" wrapText="1"/>
    </xf>
    <xf numFmtId="2" fontId="24" fillId="0" borderId="1" xfId="2" applyNumberFormat="1" applyFont="1" applyFill="1" applyBorder="1" applyAlignment="1">
      <alignment horizontal="left" vertical="center" wrapText="1"/>
    </xf>
    <xf numFmtId="2" fontId="24" fillId="0" borderId="1" xfId="2" applyNumberFormat="1" applyFont="1" applyBorder="1" applyAlignment="1">
      <alignment vertical="center"/>
    </xf>
    <xf numFmtId="2" fontId="24" fillId="0" borderId="1" xfId="2" applyNumberFormat="1" applyFont="1" applyBorder="1" applyAlignment="1">
      <alignment horizontal="left" vertical="center" wrapText="1"/>
    </xf>
    <xf numFmtId="0" fontId="24" fillId="0" borderId="1" xfId="2" applyFont="1" applyBorder="1" applyAlignment="1">
      <alignment horizontal="left" vertical="center"/>
    </xf>
    <xf numFmtId="0" fontId="24" fillId="0" borderId="1" xfId="2" applyFont="1" applyBorder="1" applyAlignment="1">
      <alignment horizontal="left" vertical="center" wrapText="1"/>
    </xf>
    <xf numFmtId="49" fontId="24" fillId="0" borderId="1" xfId="2" applyNumberFormat="1" applyFont="1" applyBorder="1" applyAlignment="1">
      <alignment horizontal="left" vertical="center" wrapText="1"/>
    </xf>
    <xf numFmtId="2" fontId="24" fillId="0" borderId="1" xfId="2" applyNumberFormat="1" applyFont="1" applyBorder="1" applyAlignment="1">
      <alignment horizontal="left" vertical="center"/>
    </xf>
    <xf numFmtId="2" fontId="24" fillId="0" borderId="1" xfId="2" applyNumberFormat="1" applyFont="1" applyBorder="1" applyAlignment="1">
      <alignment vertical="center"/>
    </xf>
    <xf numFmtId="2" fontId="27" fillId="0" borderId="1" xfId="2" applyNumberFormat="1" applyFont="1" applyBorder="1" applyAlignment="1">
      <alignment horizontal="left" vertical="center"/>
    </xf>
    <xf numFmtId="2" fontId="24" fillId="0" borderId="1" xfId="2" applyNumberFormat="1" applyFont="1" applyBorder="1" applyAlignment="1">
      <alignment horizontal="left" vertical="center" wrapText="1"/>
    </xf>
    <xf numFmtId="2" fontId="24" fillId="0" borderId="1" xfId="2" applyNumberFormat="1" applyFont="1" applyFill="1" applyBorder="1" applyAlignment="1">
      <alignment vertical="center" wrapText="1"/>
    </xf>
    <xf numFmtId="2" fontId="27" fillId="0" borderId="1" xfId="2" applyNumberFormat="1" applyFont="1" applyBorder="1" applyAlignment="1">
      <alignment horizontal="left" vertical="center" wrapText="1"/>
    </xf>
    <xf numFmtId="2" fontId="27" fillId="0" borderId="1" xfId="2" applyNumberFormat="1" applyFont="1" applyFill="1" applyBorder="1" applyAlignment="1">
      <alignment horizontal="left" vertical="center"/>
    </xf>
    <xf numFmtId="2" fontId="24" fillId="0" borderId="1" xfId="2" applyNumberFormat="1" applyFont="1" applyBorder="1" applyAlignment="1">
      <alignment horizontal="left" vertical="center"/>
    </xf>
    <xf numFmtId="2" fontId="27" fillId="0" borderId="1" xfId="2" applyNumberFormat="1" applyFont="1" applyBorder="1" applyAlignment="1">
      <alignment horizontal="left" vertical="center"/>
    </xf>
    <xf numFmtId="2" fontId="24" fillId="0" borderId="1" xfId="2" applyNumberFormat="1" applyFont="1" applyBorder="1" applyAlignment="1">
      <alignment horizontal="left" vertical="center" wrapText="1"/>
    </xf>
    <xf numFmtId="0" fontId="24" fillId="0" borderId="1" xfId="2" applyFont="1" applyBorder="1" applyAlignment="1">
      <alignment horizontal="left" vertical="center" wrapText="1"/>
    </xf>
    <xf numFmtId="2" fontId="24" fillId="0" borderId="1" xfId="2" applyNumberFormat="1" applyFont="1" applyBorder="1" applyAlignment="1">
      <alignment vertical="center" wrapText="1"/>
    </xf>
    <xf numFmtId="2" fontId="24" fillId="0" borderId="1" xfId="2" applyNumberFormat="1" applyFont="1" applyBorder="1" applyAlignment="1">
      <alignment vertical="center"/>
    </xf>
    <xf numFmtId="2" fontId="24" fillId="0" borderId="1" xfId="2" applyNumberFormat="1" applyFont="1" applyFill="1" applyBorder="1" applyAlignment="1">
      <alignment vertical="center"/>
    </xf>
    <xf numFmtId="2" fontId="24" fillId="0" borderId="1" xfId="2" applyNumberFormat="1" applyFont="1" applyBorder="1" applyAlignment="1">
      <alignment horizontal="left" vertical="center" wrapText="1"/>
    </xf>
    <xf numFmtId="0" fontId="24" fillId="0" borderId="1" xfId="2" applyFont="1" applyBorder="1" applyAlignment="1">
      <alignment horizontal="left" vertical="center"/>
    </xf>
    <xf numFmtId="2" fontId="24" fillId="0" borderId="1" xfId="2" applyNumberFormat="1" applyFont="1" applyBorder="1" applyAlignment="1">
      <alignment vertical="center" wrapText="1"/>
    </xf>
    <xf numFmtId="2" fontId="24" fillId="0" borderId="1" xfId="2" applyNumberFormat="1" applyFont="1" applyBorder="1" applyAlignment="1">
      <alignment horizontal="left" vertical="center"/>
    </xf>
    <xf numFmtId="2" fontId="24" fillId="0" borderId="1" xfId="2" applyNumberFormat="1" applyFont="1" applyBorder="1" applyAlignment="1">
      <alignment vertical="center"/>
    </xf>
    <xf numFmtId="2" fontId="27" fillId="0" borderId="1" xfId="2" applyNumberFormat="1" applyFont="1" applyBorder="1" applyAlignment="1">
      <alignment horizontal="left" vertical="center"/>
    </xf>
    <xf numFmtId="0" fontId="24" fillId="0" borderId="1" xfId="2" applyFont="1" applyBorder="1" applyAlignment="1">
      <alignment horizontal="left" vertical="center"/>
    </xf>
    <xf numFmtId="2" fontId="27" fillId="0" borderId="1" xfId="2" applyNumberFormat="1" applyFont="1" applyFill="1" applyBorder="1" applyAlignment="1">
      <alignment horizontal="left" vertical="center"/>
    </xf>
    <xf numFmtId="2" fontId="24" fillId="0" borderId="1" xfId="2" applyNumberFormat="1" applyFont="1" applyBorder="1" applyAlignment="1">
      <alignment vertical="center"/>
    </xf>
    <xf numFmtId="2" fontId="24" fillId="0" borderId="1" xfId="2" applyNumberFormat="1" applyFont="1" applyFill="1" applyBorder="1" applyAlignment="1">
      <alignment vertical="center"/>
    </xf>
    <xf numFmtId="2" fontId="24" fillId="0" borderId="1" xfId="2" applyNumberFormat="1" applyFont="1" applyBorder="1" applyAlignment="1">
      <alignment horizontal="left" vertical="center" wrapText="1"/>
    </xf>
    <xf numFmtId="2" fontId="27" fillId="0" borderId="1" xfId="2" applyNumberFormat="1" applyFont="1" applyFill="1" applyBorder="1" applyAlignment="1">
      <alignment horizontal="left" vertical="center"/>
    </xf>
    <xf numFmtId="0" fontId="24" fillId="0" borderId="0" xfId="2" applyFont="1" applyAlignment="1">
      <alignment horizontal="left" vertical="center" wrapText="1"/>
    </xf>
    <xf numFmtId="2" fontId="24" fillId="0" borderId="1" xfId="2" applyNumberFormat="1" applyFont="1" applyBorder="1" applyAlignment="1">
      <alignment vertical="center"/>
    </xf>
    <xf numFmtId="2" fontId="27" fillId="0" borderId="1" xfId="2" applyNumberFormat="1" applyFont="1" applyBorder="1" applyAlignment="1">
      <alignment horizontal="left" vertical="center"/>
    </xf>
    <xf numFmtId="2" fontId="24" fillId="0" borderId="1" xfId="2" applyNumberFormat="1" applyFont="1" applyBorder="1" applyAlignment="1">
      <alignment horizontal="left" vertical="center" wrapText="1"/>
    </xf>
    <xf numFmtId="2" fontId="24" fillId="0" borderId="1" xfId="2" applyNumberFormat="1" applyFont="1" applyBorder="1" applyAlignment="1">
      <alignment vertical="center"/>
    </xf>
    <xf numFmtId="2" fontId="27" fillId="0" borderId="1" xfId="2" applyNumberFormat="1" applyFont="1" applyBorder="1" applyAlignment="1">
      <alignment horizontal="left" vertical="center"/>
    </xf>
    <xf numFmtId="2" fontId="24" fillId="0" borderId="0" xfId="2" applyNumberFormat="1" applyFont="1" applyAlignment="1">
      <alignment horizontal="left" vertical="center" wrapText="1"/>
    </xf>
    <xf numFmtId="2" fontId="24" fillId="0" borderId="1" xfId="2" applyNumberFormat="1" applyFont="1" applyBorder="1" applyAlignment="1">
      <alignment horizontal="left" vertical="center" wrapText="1"/>
    </xf>
    <xf numFmtId="0" fontId="24" fillId="0" borderId="1" xfId="2" applyFont="1" applyBorder="1" applyAlignment="1">
      <alignment horizontal="left" vertical="center"/>
    </xf>
    <xf numFmtId="0" fontId="24" fillId="0" borderId="1" xfId="2" applyFont="1" applyBorder="1" applyAlignment="1">
      <alignment horizontal="left" vertical="center" wrapText="1"/>
    </xf>
    <xf numFmtId="2" fontId="27" fillId="0" borderId="1" xfId="2" applyNumberFormat="1" applyFont="1" applyFill="1" applyBorder="1" applyAlignment="1">
      <alignment horizontal="left" vertical="center"/>
    </xf>
    <xf numFmtId="0" fontId="24" fillId="0" borderId="1" xfId="2" applyFont="1" applyFill="1" applyBorder="1" applyAlignment="1">
      <alignment horizontal="left" vertical="center" wrapText="1"/>
    </xf>
    <xf numFmtId="2" fontId="27" fillId="0" borderId="1" xfId="2" applyNumberFormat="1" applyFont="1" applyBorder="1" applyAlignment="1">
      <alignment horizontal="left" vertical="center"/>
    </xf>
    <xf numFmtId="0" fontId="24" fillId="0" borderId="1" xfId="2" applyFont="1" applyBorder="1" applyAlignment="1">
      <alignment horizontal="left" vertical="center"/>
    </xf>
    <xf numFmtId="2" fontId="24" fillId="0" borderId="1" xfId="2" applyNumberFormat="1" applyFont="1" applyBorder="1" applyAlignment="1">
      <alignment horizontal="left" vertical="center"/>
    </xf>
    <xf numFmtId="2" fontId="24" fillId="0" borderId="1" xfId="2" applyNumberFormat="1" applyFont="1" applyBorder="1" applyAlignment="1">
      <alignment vertical="center"/>
    </xf>
    <xf numFmtId="0" fontId="24" fillId="0" borderId="1" xfId="2" applyFont="1" applyBorder="1" applyAlignment="1">
      <alignment horizontal="left" vertical="center"/>
    </xf>
    <xf numFmtId="0" fontId="24" fillId="0" borderId="1" xfId="2" applyFont="1" applyBorder="1" applyAlignment="1">
      <alignment horizontal="left" vertical="center" wrapText="1"/>
    </xf>
    <xf numFmtId="0" fontId="24" fillId="0" borderId="1" xfId="2" applyFont="1" applyFill="1" applyBorder="1" applyAlignment="1">
      <alignment horizontal="left" vertical="center" wrapText="1"/>
    </xf>
    <xf numFmtId="0" fontId="24" fillId="4" borderId="1" xfId="2" applyFont="1" applyFill="1" applyBorder="1" applyAlignment="1">
      <alignment horizontal="left" vertical="center" wrapText="1"/>
    </xf>
    <xf numFmtId="2" fontId="27" fillId="0" borderId="1" xfId="2" applyNumberFormat="1" applyFont="1" applyBorder="1" applyAlignment="1">
      <alignment horizontal="left" vertical="center"/>
    </xf>
    <xf numFmtId="2" fontId="27" fillId="4" borderId="1" xfId="2" applyNumberFormat="1" applyFont="1" applyFill="1" applyBorder="1" applyAlignment="1">
      <alignment horizontal="left" vertical="center"/>
    </xf>
    <xf numFmtId="2" fontId="27" fillId="0" borderId="1" xfId="2" applyNumberFormat="1" applyFont="1" applyFill="1" applyBorder="1" applyAlignment="1">
      <alignment horizontal="left" vertical="center"/>
    </xf>
    <xf numFmtId="2" fontId="27" fillId="0" borderId="1" xfId="2" applyNumberFormat="1" applyFont="1" applyFill="1" applyBorder="1" applyAlignment="1">
      <alignment horizontal="left" vertical="center"/>
    </xf>
    <xf numFmtId="0" fontId="24" fillId="0" borderId="1" xfId="2" applyFont="1" applyFill="1" applyBorder="1" applyAlignment="1">
      <alignment horizontal="left" vertical="center"/>
    </xf>
    <xf numFmtId="0" fontId="24" fillId="0" borderId="1" xfId="2" applyFont="1" applyBorder="1" applyAlignment="1">
      <alignment horizontal="left" vertical="center" wrapText="1"/>
    </xf>
    <xf numFmtId="2" fontId="27" fillId="0" borderId="1" xfId="2" applyNumberFormat="1" applyFont="1" applyBorder="1" applyAlignment="1">
      <alignment horizontal="left" vertical="center"/>
    </xf>
    <xf numFmtId="2" fontId="24" fillId="0" borderId="1" xfId="2" applyNumberFormat="1" applyFont="1" applyBorder="1" applyAlignment="1">
      <alignment horizontal="left" vertical="center" wrapText="1"/>
    </xf>
    <xf numFmtId="2" fontId="24" fillId="0" borderId="1" xfId="2" applyNumberFormat="1" applyFont="1" applyFill="1" applyBorder="1" applyAlignment="1">
      <alignment horizontal="left" vertical="center"/>
    </xf>
    <xf numFmtId="2" fontId="27" fillId="0" borderId="1" xfId="2" applyNumberFormat="1" applyFont="1" applyBorder="1" applyAlignment="1">
      <alignment horizontal="left" vertical="center"/>
    </xf>
    <xf numFmtId="2" fontId="25" fillId="0" borderId="1" xfId="0" applyNumberFormat="1" applyFont="1" applyFill="1" applyBorder="1" applyAlignment="1" applyProtection="1">
      <alignment horizontal="left" vertical="center" wrapText="1"/>
      <protection locked="0"/>
    </xf>
    <xf numFmtId="2" fontId="17" fillId="0" borderId="1" xfId="0" applyNumberFormat="1" applyFont="1" applyFill="1" applyBorder="1" applyAlignment="1" applyProtection="1">
      <alignment horizontal="left" vertical="top" wrapText="1"/>
      <protection locked="0"/>
    </xf>
    <xf numFmtId="0" fontId="7" fillId="5" borderId="1" xfId="0" applyFont="1" applyFill="1" applyBorder="1" applyAlignment="1" applyProtection="1">
      <alignment vertical="top" wrapText="1"/>
      <protection locked="0"/>
    </xf>
    <xf numFmtId="0" fontId="17" fillId="5" borderId="1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Fill="1" applyBorder="1" applyAlignment="1" applyProtection="1">
      <alignment vertical="top" wrapText="1"/>
      <protection locked="0"/>
    </xf>
    <xf numFmtId="0" fontId="17" fillId="0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8" xfId="0" applyFont="1" applyFill="1" applyBorder="1"/>
    <xf numFmtId="0" fontId="14" fillId="0" borderId="1" xfId="0" applyFont="1" applyFill="1" applyBorder="1"/>
    <xf numFmtId="0" fontId="18" fillId="0" borderId="1" xfId="0" applyFont="1" applyFill="1" applyBorder="1" applyAlignment="1" applyProtection="1">
      <alignment horizontal="right"/>
      <protection locked="0"/>
    </xf>
    <xf numFmtId="0" fontId="26" fillId="0" borderId="1" xfId="0" applyFont="1" applyFill="1" applyBorder="1"/>
    <xf numFmtId="0" fontId="26" fillId="0" borderId="8" xfId="0" applyFont="1" applyFill="1" applyBorder="1"/>
    <xf numFmtId="0" fontId="25" fillId="0" borderId="0" xfId="0" applyFont="1"/>
    <xf numFmtId="0" fontId="32" fillId="0" borderId="0" xfId="0" applyFont="1" applyFill="1" applyBorder="1" applyAlignment="1" applyProtection="1">
      <alignment horizontal="center"/>
    </xf>
    <xf numFmtId="0" fontId="32" fillId="0" borderId="0" xfId="0" applyFont="1" applyAlignment="1">
      <alignment horizontal="center"/>
    </xf>
    <xf numFmtId="0" fontId="33" fillId="0" borderId="20" xfId="0" applyFont="1" applyFill="1" applyBorder="1" applyAlignment="1">
      <alignment horizontal="center" vertical="center" wrapText="1"/>
    </xf>
    <xf numFmtId="49" fontId="32" fillId="0" borderId="21" xfId="0" applyNumberFormat="1" applyFont="1" applyFill="1" applyBorder="1" applyAlignment="1" applyProtection="1">
      <alignment horizontal="center" vertical="top" wrapText="1"/>
      <protection locked="0"/>
    </xf>
    <xf numFmtId="49" fontId="32" fillId="0" borderId="22" xfId="0" applyNumberFormat="1" applyFont="1" applyFill="1" applyBorder="1" applyAlignment="1" applyProtection="1">
      <alignment horizontal="center" vertical="top" wrapText="1"/>
      <protection locked="0"/>
    </xf>
    <xf numFmtId="0" fontId="32" fillId="0" borderId="22" xfId="0" applyFont="1" applyFill="1" applyBorder="1" applyAlignment="1">
      <alignment horizontal="center" vertical="top" wrapText="1"/>
    </xf>
    <xf numFmtId="49" fontId="34" fillId="0" borderId="1" xfId="2" applyNumberFormat="1" applyFont="1" applyFill="1" applyBorder="1" applyAlignment="1">
      <alignment horizontal="center" vertical="center"/>
    </xf>
    <xf numFmtId="1" fontId="34" fillId="0" borderId="1" xfId="2" applyNumberFormat="1" applyFont="1" applyFill="1" applyBorder="1" applyAlignment="1">
      <alignment horizontal="center" vertical="center"/>
    </xf>
    <xf numFmtId="0" fontId="32" fillId="0" borderId="22" xfId="0" applyFont="1" applyFill="1" applyBorder="1" applyAlignment="1" applyProtection="1">
      <alignment horizontal="center" vertical="top" wrapText="1"/>
      <protection locked="0"/>
    </xf>
    <xf numFmtId="0" fontId="32" fillId="0" borderId="17" xfId="0" applyFont="1" applyFill="1" applyBorder="1" applyAlignment="1">
      <alignment horizontal="center" vertical="top" wrapText="1"/>
    </xf>
    <xf numFmtId="49" fontId="34" fillId="0" borderId="1" xfId="0" applyNumberFormat="1" applyFont="1" applyFill="1" applyBorder="1" applyAlignment="1">
      <alignment horizontal="center" vertical="center"/>
    </xf>
    <xf numFmtId="1" fontId="34" fillId="0" borderId="23" xfId="0" applyNumberFormat="1" applyFont="1" applyFill="1" applyBorder="1" applyAlignment="1">
      <alignment horizontal="center" vertical="center"/>
    </xf>
    <xf numFmtId="2" fontId="34" fillId="0" borderId="1" xfId="0" applyNumberFormat="1" applyFont="1" applyFill="1" applyBorder="1" applyAlignment="1">
      <alignment horizontal="center" vertical="center"/>
    </xf>
    <xf numFmtId="0" fontId="35" fillId="0" borderId="22" xfId="0" applyFont="1" applyFill="1" applyBorder="1" applyAlignment="1" applyProtection="1">
      <alignment horizontal="center" vertical="top" wrapText="1"/>
      <protection locked="0"/>
    </xf>
    <xf numFmtId="0" fontId="32" fillId="0" borderId="21" xfId="0" applyFont="1" applyFill="1" applyBorder="1" applyAlignment="1" applyProtection="1">
      <alignment horizontal="center" vertical="top" wrapText="1"/>
      <protection locked="0"/>
    </xf>
    <xf numFmtId="12" fontId="32" fillId="0" borderId="22" xfId="0" applyNumberFormat="1" applyFont="1" applyFill="1" applyBorder="1" applyAlignment="1" applyProtection="1">
      <alignment horizontal="center" vertical="top" wrapText="1"/>
      <protection locked="0"/>
    </xf>
    <xf numFmtId="49" fontId="34" fillId="0" borderId="23" xfId="0" applyNumberFormat="1" applyFont="1" applyFill="1" applyBorder="1" applyAlignment="1">
      <alignment horizontal="center" vertical="center"/>
    </xf>
    <xf numFmtId="1" fontId="34" fillId="0" borderId="1" xfId="0" applyNumberFormat="1" applyFont="1" applyFill="1" applyBorder="1" applyAlignment="1">
      <alignment horizontal="center" vertical="center"/>
    </xf>
    <xf numFmtId="164" fontId="34" fillId="0" borderId="1" xfId="0" applyNumberFormat="1" applyFont="1" applyFill="1" applyBorder="1" applyAlignment="1">
      <alignment horizontal="center" vertical="center"/>
    </xf>
    <xf numFmtId="1" fontId="32" fillId="0" borderId="22" xfId="0" applyNumberFormat="1" applyFont="1" applyFill="1" applyBorder="1" applyAlignment="1" applyProtection="1">
      <alignment horizontal="center" vertical="top" wrapText="1"/>
      <protection locked="0"/>
    </xf>
    <xf numFmtId="2" fontId="32" fillId="0" borderId="22" xfId="0" applyNumberFormat="1" applyFont="1" applyFill="1" applyBorder="1" applyAlignment="1" applyProtection="1">
      <alignment horizontal="center" vertical="top" wrapText="1"/>
      <protection locked="0"/>
    </xf>
    <xf numFmtId="49" fontId="35" fillId="0" borderId="22" xfId="0" applyNumberFormat="1" applyFont="1" applyFill="1" applyBorder="1" applyAlignment="1" applyProtection="1">
      <alignment horizontal="center" vertical="top" wrapText="1"/>
      <protection locked="0"/>
    </xf>
    <xf numFmtId="2" fontId="32" fillId="0" borderId="4" xfId="0" applyNumberFormat="1" applyFont="1" applyFill="1" applyBorder="1" applyAlignment="1">
      <alignment horizontal="center"/>
    </xf>
    <xf numFmtId="0" fontId="32" fillId="0" borderId="0" xfId="0" applyFont="1" applyFill="1" applyAlignment="1">
      <alignment horizontal="center"/>
    </xf>
    <xf numFmtId="0" fontId="32" fillId="0" borderId="0" xfId="0" applyFont="1" applyFill="1" applyBorder="1" applyAlignment="1">
      <alignment horizontal="center"/>
    </xf>
    <xf numFmtId="2" fontId="34" fillId="0" borderId="0" xfId="0" applyNumberFormat="1" applyFont="1" applyFill="1" applyBorder="1" applyAlignment="1">
      <alignment horizontal="center" vertical="center"/>
    </xf>
    <xf numFmtId="49" fontId="34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 applyProtection="1">
      <alignment horizontal="center" vertical="top" wrapText="1"/>
      <protection locked="0"/>
    </xf>
    <xf numFmtId="1" fontId="34" fillId="0" borderId="0" xfId="0" applyNumberFormat="1" applyFont="1" applyFill="1" applyBorder="1" applyAlignment="1">
      <alignment horizontal="center" vertical="center"/>
    </xf>
    <xf numFmtId="164" fontId="34" fillId="0" borderId="0" xfId="0" applyNumberFormat="1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/>
    </xf>
    <xf numFmtId="0" fontId="14" fillId="6" borderId="13" xfId="0" applyFont="1" applyFill="1" applyBorder="1" applyAlignment="1">
      <alignment horizontal="center"/>
    </xf>
    <xf numFmtId="0" fontId="14" fillId="6" borderId="2" xfId="0" applyFont="1" applyFill="1" applyBorder="1"/>
    <xf numFmtId="0" fontId="18" fillId="6" borderId="1" xfId="0" applyFont="1" applyFill="1" applyBorder="1" applyAlignment="1" applyProtection="1">
      <alignment horizontal="right"/>
      <protection locked="0"/>
    </xf>
    <xf numFmtId="0" fontId="7" fillId="6" borderId="1" xfId="0" applyFont="1" applyFill="1" applyBorder="1" applyAlignment="1">
      <alignment vertical="top" wrapText="1"/>
    </xf>
    <xf numFmtId="2" fontId="17" fillId="6" borderId="1" xfId="0" applyNumberFormat="1" applyFont="1" applyFill="1" applyBorder="1" applyAlignment="1">
      <alignment horizontal="center" vertical="top" wrapText="1"/>
    </xf>
    <xf numFmtId="0" fontId="32" fillId="6" borderId="22" xfId="0" applyFont="1" applyFill="1" applyBorder="1" applyAlignment="1">
      <alignment horizontal="center" vertical="top" wrapText="1"/>
    </xf>
    <xf numFmtId="0" fontId="17" fillId="6" borderId="1" xfId="0" applyFont="1" applyFill="1" applyBorder="1" applyAlignment="1">
      <alignment horizontal="center" vertical="top" wrapText="1"/>
    </xf>
    <xf numFmtId="0" fontId="14" fillId="6" borderId="16" xfId="0" applyFont="1" applyFill="1" applyBorder="1" applyAlignment="1">
      <alignment horizontal="center"/>
    </xf>
    <xf numFmtId="0" fontId="14" fillId="6" borderId="17" xfId="0" applyFont="1" applyFill="1" applyBorder="1" applyAlignment="1">
      <alignment horizontal="center"/>
    </xf>
    <xf numFmtId="0" fontId="7" fillId="6" borderId="17" xfId="0" applyFont="1" applyFill="1" applyBorder="1" applyAlignment="1">
      <alignment vertical="top" wrapText="1"/>
    </xf>
    <xf numFmtId="2" fontId="17" fillId="6" borderId="17" xfId="0" applyNumberFormat="1" applyFont="1" applyFill="1" applyBorder="1" applyAlignment="1">
      <alignment horizontal="center" vertical="top" wrapText="1"/>
    </xf>
    <xf numFmtId="0" fontId="32" fillId="6" borderId="17" xfId="0" applyFont="1" applyFill="1" applyBorder="1" applyAlignment="1">
      <alignment horizontal="center" vertical="top" wrapText="1"/>
    </xf>
    <xf numFmtId="0" fontId="17" fillId="6" borderId="17" xfId="0" applyFont="1" applyFill="1" applyBorder="1" applyAlignment="1">
      <alignment horizontal="center" vertical="top" wrapText="1"/>
    </xf>
    <xf numFmtId="2" fontId="17" fillId="7" borderId="1" xfId="0" applyNumberFormat="1" applyFont="1" applyFill="1" applyBorder="1" applyAlignment="1" applyProtection="1">
      <alignment horizontal="center" vertical="top" wrapText="1"/>
      <protection locked="0"/>
    </xf>
    <xf numFmtId="2" fontId="16" fillId="7" borderId="1" xfId="0" applyNumberFormat="1" applyFont="1" applyFill="1" applyBorder="1" applyAlignment="1">
      <alignment horizontal="left" vertical="center"/>
    </xf>
    <xf numFmtId="0" fontId="7" fillId="6" borderId="0" xfId="0" applyFont="1" applyFill="1"/>
    <xf numFmtId="0" fontId="14" fillId="8" borderId="12" xfId="0" applyFont="1" applyFill="1" applyBorder="1" applyAlignment="1">
      <alignment horizontal="center"/>
    </xf>
    <xf numFmtId="0" fontId="14" fillId="8" borderId="13" xfId="0" applyFont="1" applyFill="1" applyBorder="1" applyAlignment="1">
      <alignment horizontal="center"/>
    </xf>
    <xf numFmtId="0" fontId="14" fillId="8" borderId="2" xfId="0" applyFont="1" applyFill="1" applyBorder="1"/>
    <xf numFmtId="0" fontId="18" fillId="8" borderId="1" xfId="0" applyFont="1" applyFill="1" applyBorder="1" applyAlignment="1" applyProtection="1">
      <alignment horizontal="right"/>
      <protection locked="0"/>
    </xf>
    <xf numFmtId="0" fontId="7" fillId="8" borderId="1" xfId="0" applyFont="1" applyFill="1" applyBorder="1" applyAlignment="1">
      <alignment vertical="top" wrapText="1"/>
    </xf>
    <xf numFmtId="2" fontId="17" fillId="8" borderId="1" xfId="0" applyNumberFormat="1" applyFont="1" applyFill="1" applyBorder="1" applyAlignment="1">
      <alignment horizontal="center" vertical="top" wrapText="1"/>
    </xf>
    <xf numFmtId="0" fontId="32" fillId="8" borderId="22" xfId="0" applyFont="1" applyFill="1" applyBorder="1" applyAlignment="1">
      <alignment horizontal="center" vertical="top" wrapText="1"/>
    </xf>
    <xf numFmtId="0" fontId="14" fillId="8" borderId="16" xfId="0" applyFont="1" applyFill="1" applyBorder="1" applyAlignment="1">
      <alignment horizontal="center"/>
    </xf>
    <xf numFmtId="0" fontId="14" fillId="8" borderId="17" xfId="0" applyFont="1" applyFill="1" applyBorder="1" applyAlignment="1">
      <alignment horizontal="center"/>
    </xf>
    <xf numFmtId="0" fontId="7" fillId="8" borderId="17" xfId="0" applyFont="1" applyFill="1" applyBorder="1" applyAlignment="1">
      <alignment vertical="top" wrapText="1"/>
    </xf>
    <xf numFmtId="2" fontId="17" fillId="8" borderId="17" xfId="0" applyNumberFormat="1" applyFont="1" applyFill="1" applyBorder="1" applyAlignment="1">
      <alignment horizontal="center" vertical="top" wrapText="1"/>
    </xf>
    <xf numFmtId="0" fontId="32" fillId="8" borderId="17" xfId="0" applyFont="1" applyFill="1" applyBorder="1" applyAlignment="1">
      <alignment horizontal="center" vertical="top" wrapText="1"/>
    </xf>
    <xf numFmtId="0" fontId="14" fillId="6" borderId="2" xfId="0" applyFont="1" applyFill="1" applyBorder="1" applyAlignment="1">
      <alignment horizontal="center"/>
    </xf>
    <xf numFmtId="2" fontId="32" fillId="6" borderId="22" xfId="0" applyNumberFormat="1" applyFont="1" applyFill="1" applyBorder="1" applyAlignment="1">
      <alignment horizontal="center" vertical="top" wrapText="1"/>
    </xf>
    <xf numFmtId="0" fontId="14" fillId="6" borderId="1" xfId="0" applyFont="1" applyFill="1" applyBorder="1" applyAlignment="1">
      <alignment horizontal="center"/>
    </xf>
    <xf numFmtId="2" fontId="17" fillId="5" borderId="1" xfId="0" applyNumberFormat="1" applyFont="1" applyFill="1" applyBorder="1" applyAlignment="1" applyProtection="1">
      <alignment horizontal="center" vertical="top" wrapText="1"/>
      <protection locked="0"/>
    </xf>
    <xf numFmtId="2" fontId="32" fillId="8" borderId="22" xfId="0" applyNumberFormat="1" applyFont="1" applyFill="1" applyBorder="1" applyAlignment="1">
      <alignment horizontal="center" vertical="top" wrapText="1"/>
    </xf>
    <xf numFmtId="2" fontId="24" fillId="0" borderId="0" xfId="0" applyNumberFormat="1" applyFont="1" applyAlignment="1">
      <alignment horizontal="left" vertical="center" wrapText="1"/>
    </xf>
    <xf numFmtId="2" fontId="32" fillId="8" borderId="17" xfId="0" applyNumberFormat="1" applyFont="1" applyFill="1" applyBorder="1" applyAlignment="1">
      <alignment horizontal="center" vertical="top" wrapText="1"/>
    </xf>
    <xf numFmtId="0" fontId="7" fillId="6" borderId="16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2" fontId="32" fillId="6" borderId="17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9" fillId="2" borderId="24" xfId="0" applyFont="1" applyFill="1" applyBorder="1" applyAlignment="1" applyProtection="1">
      <alignment horizontal="left" wrapText="1"/>
      <protection locked="0"/>
    </xf>
    <xf numFmtId="0" fontId="7" fillId="2" borderId="23" xfId="0" applyFont="1" applyFill="1" applyBorder="1" applyAlignment="1" applyProtection="1">
      <alignment horizontal="left" wrapText="1"/>
      <protection locked="0"/>
    </xf>
    <xf numFmtId="0" fontId="7" fillId="2" borderId="25" xfId="0" applyFont="1" applyFill="1" applyBorder="1" applyAlignment="1" applyProtection="1">
      <alignment horizontal="left" wrapText="1"/>
      <protection locked="0"/>
    </xf>
    <xf numFmtId="0" fontId="29" fillId="2" borderId="1" xfId="0" applyFont="1" applyFill="1" applyBorder="1" applyAlignment="1" applyProtection="1">
      <alignment horizontal="left" wrapText="1"/>
      <protection locked="0"/>
    </xf>
    <xf numFmtId="0" fontId="7" fillId="2" borderId="1" xfId="0" applyFont="1" applyFill="1" applyBorder="1" applyAlignment="1" applyProtection="1">
      <alignment horizontal="left" wrapText="1"/>
      <protection locked="0"/>
    </xf>
    <xf numFmtId="0" fontId="19" fillId="3" borderId="18" xfId="0" applyFont="1" applyFill="1" applyBorder="1" applyAlignment="1">
      <alignment horizontal="center" vertical="center" wrapText="1"/>
    </xf>
    <xf numFmtId="0" fontId="20" fillId="3" borderId="19" xfId="0" applyFont="1" applyFill="1" applyBorder="1" applyAlignment="1">
      <alignment horizontal="center" vertical="center" wrapText="1"/>
    </xf>
    <xf numFmtId="0" fontId="19" fillId="8" borderId="18" xfId="0" applyFont="1" applyFill="1" applyBorder="1" applyAlignment="1">
      <alignment horizontal="center" vertical="center" wrapText="1"/>
    </xf>
    <xf numFmtId="0" fontId="20" fillId="8" borderId="19" xfId="0" applyFont="1" applyFill="1" applyBorder="1" applyAlignment="1">
      <alignment horizontal="center" vertical="center" wrapText="1"/>
    </xf>
    <xf numFmtId="0" fontId="21" fillId="6" borderId="18" xfId="0" applyFont="1" applyFill="1" applyBorder="1" applyAlignment="1">
      <alignment horizontal="center" vertical="center" wrapText="1"/>
    </xf>
    <xf numFmtId="0" fontId="22" fillId="6" borderId="19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9" fillId="6" borderId="18" xfId="0" applyFont="1" applyFill="1" applyBorder="1" applyAlignment="1">
      <alignment horizontal="center" vertical="center" wrapText="1"/>
    </xf>
    <xf numFmtId="0" fontId="20" fillId="6" borderId="19" xfId="0" applyFont="1" applyFill="1" applyBorder="1" applyAlignment="1">
      <alignment horizontal="center" vertical="center" wrapText="1"/>
    </xf>
  </cellXfs>
  <cellStyles count="11">
    <cellStyle name="Обычный" xfId="0" builtinId="0"/>
    <cellStyle name="Обычный 2" xfId="1"/>
    <cellStyle name="Обычный 2 2" xfId="3"/>
    <cellStyle name="Обычный 3" xfId="4"/>
    <cellStyle name="Обычный 3 2" xfId="5"/>
    <cellStyle name="Обычный 3 3" xfId="6"/>
    <cellStyle name="Обычный 3 4" xfId="7"/>
    <cellStyle name="Обычный 3 5" xfId="8"/>
    <cellStyle name="Обычный 3 6" xfId="9"/>
    <cellStyle name="Обычный 3 7" xfId="10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6"/>
  <sheetViews>
    <sheetView tabSelected="1" topLeftCell="A160" zoomScale="85" zoomScaleNormal="85" workbookViewId="0">
      <selection activeCell="E184" sqref="E184"/>
    </sheetView>
  </sheetViews>
  <sheetFormatPr defaultRowHeight="14.25"/>
  <cols>
    <col min="1" max="1" width="4.7109375" style="1" customWidth="1"/>
    <col min="2" max="2" width="5.28515625" style="1" customWidth="1"/>
    <col min="3" max="3" width="7.7109375" style="2" customWidth="1"/>
    <col min="4" max="4" width="11.5703125" style="163" customWidth="1"/>
    <col min="5" max="5" width="42.7109375" style="1" customWidth="1"/>
    <col min="6" max="6" width="9.28515625" style="1" customWidth="1"/>
    <col min="7" max="7" width="7.85546875" style="1" customWidth="1"/>
    <col min="8" max="8" width="7.5703125" style="1" customWidth="1"/>
    <col min="9" max="9" width="6.85546875" style="1" customWidth="1"/>
    <col min="10" max="10" width="9.85546875" style="1" customWidth="1"/>
    <col min="11" max="11" width="10.5703125" style="174" customWidth="1"/>
    <col min="12" max="12" width="9.5703125" style="1" customWidth="1"/>
    <col min="13" max="16384" width="9.140625" style="1"/>
  </cols>
  <sheetData>
    <row r="1" spans="1:12" ht="25.5" customHeight="1">
      <c r="A1" s="2" t="s">
        <v>0</v>
      </c>
      <c r="C1" s="242" t="s">
        <v>156</v>
      </c>
      <c r="D1" s="243"/>
      <c r="E1" s="243"/>
      <c r="F1" s="3" t="s">
        <v>1</v>
      </c>
      <c r="G1" s="1" t="s">
        <v>2</v>
      </c>
      <c r="H1" s="244" t="s">
        <v>93</v>
      </c>
      <c r="I1" s="245"/>
      <c r="J1" s="245"/>
      <c r="K1" s="246"/>
    </row>
    <row r="2" spans="1:12" ht="18">
      <c r="A2" s="4" t="s">
        <v>3</v>
      </c>
      <c r="C2" s="1"/>
      <c r="G2" s="1" t="s">
        <v>4</v>
      </c>
      <c r="H2" s="247" t="s">
        <v>94</v>
      </c>
      <c r="I2" s="248"/>
      <c r="J2" s="248"/>
      <c r="K2" s="248"/>
    </row>
    <row r="3" spans="1:12" ht="17.25" customHeight="1">
      <c r="A3" s="5" t="s">
        <v>5</v>
      </c>
      <c r="C3" s="1"/>
      <c r="D3" s="164"/>
      <c r="E3" s="6" t="s">
        <v>148</v>
      </c>
      <c r="G3" s="1" t="s">
        <v>6</v>
      </c>
      <c r="H3" s="7">
        <v>1</v>
      </c>
      <c r="I3" s="7">
        <v>9</v>
      </c>
      <c r="J3" s="47">
        <v>2025</v>
      </c>
      <c r="K3" s="173"/>
    </row>
    <row r="4" spans="1:12">
      <c r="C4" s="1"/>
      <c r="D4" s="165"/>
      <c r="H4" s="8" t="s">
        <v>7</v>
      </c>
      <c r="I4" s="8" t="s">
        <v>8</v>
      </c>
      <c r="J4" s="8" t="s">
        <v>9</v>
      </c>
    </row>
    <row r="5" spans="1:12" ht="43.5" thickBot="1">
      <c r="A5" s="9" t="s">
        <v>10</v>
      </c>
      <c r="B5" s="10" t="s">
        <v>11</v>
      </c>
      <c r="C5" s="11" t="s">
        <v>12</v>
      </c>
      <c r="D5" s="166" t="s">
        <v>13</v>
      </c>
      <c r="E5" s="11" t="s">
        <v>14</v>
      </c>
      <c r="F5" s="11" t="s">
        <v>15</v>
      </c>
      <c r="G5" s="11" t="s">
        <v>16</v>
      </c>
      <c r="H5" s="11" t="s">
        <v>17</v>
      </c>
      <c r="I5" s="11" t="s">
        <v>18</v>
      </c>
      <c r="J5" s="11" t="s">
        <v>19</v>
      </c>
      <c r="K5" s="175" t="s">
        <v>20</v>
      </c>
      <c r="L5" s="11" t="s">
        <v>21</v>
      </c>
    </row>
    <row r="6" spans="1:12" ht="31.5">
      <c r="A6" s="12">
        <v>1</v>
      </c>
      <c r="B6" s="13">
        <v>1</v>
      </c>
      <c r="C6" s="14" t="s">
        <v>22</v>
      </c>
      <c r="D6" s="167" t="s">
        <v>23</v>
      </c>
      <c r="E6" s="81" t="s">
        <v>62</v>
      </c>
      <c r="F6" s="15">
        <v>250</v>
      </c>
      <c r="G6" s="82">
        <f>7.45*F6/200</f>
        <v>9.3125</v>
      </c>
      <c r="H6" s="82">
        <f>11.4*F6/200</f>
        <v>14.25</v>
      </c>
      <c r="I6" s="82">
        <f>31.3*F6/200</f>
        <v>39.125</v>
      </c>
      <c r="J6" s="82">
        <f>257.8*F6/200</f>
        <v>322.25</v>
      </c>
      <c r="K6" s="176" t="s">
        <v>101</v>
      </c>
      <c r="L6" s="48">
        <v>34.11</v>
      </c>
    </row>
    <row r="7" spans="1:12" ht="15.75">
      <c r="A7" s="16"/>
      <c r="B7" s="17"/>
      <c r="C7" s="18"/>
      <c r="D7" s="168" t="s">
        <v>24</v>
      </c>
      <c r="E7" s="80" t="s">
        <v>25</v>
      </c>
      <c r="F7" s="15">
        <v>200</v>
      </c>
      <c r="G7" s="15">
        <v>3.1</v>
      </c>
      <c r="H7" s="15">
        <v>3.2</v>
      </c>
      <c r="I7" s="15">
        <v>14.4</v>
      </c>
      <c r="J7" s="15">
        <v>99</v>
      </c>
      <c r="K7" s="177" t="s">
        <v>63</v>
      </c>
      <c r="L7" s="41">
        <v>15.62</v>
      </c>
    </row>
    <row r="8" spans="1:12" ht="15.75">
      <c r="A8" s="16"/>
      <c r="B8" s="17"/>
      <c r="C8" s="18"/>
      <c r="D8" s="168" t="s">
        <v>26</v>
      </c>
      <c r="E8" s="79" t="s">
        <v>28</v>
      </c>
      <c r="F8" s="15">
        <v>70</v>
      </c>
      <c r="G8" s="15">
        <f>F8*6.1/50</f>
        <v>8.5399999999999991</v>
      </c>
      <c r="H8" s="15">
        <f>F8*3.7/50</f>
        <v>5.18</v>
      </c>
      <c r="I8" s="15">
        <f>F8*17.5/50</f>
        <v>24.5</v>
      </c>
      <c r="J8" s="15">
        <f>F8*127.7/50</f>
        <v>178.78</v>
      </c>
      <c r="K8" s="177" t="s">
        <v>102</v>
      </c>
      <c r="L8" s="41">
        <v>44.75</v>
      </c>
    </row>
    <row r="9" spans="1:12" ht="15.75">
      <c r="A9" s="16"/>
      <c r="B9" s="17"/>
      <c r="C9" s="18"/>
      <c r="D9" s="168" t="s">
        <v>39</v>
      </c>
      <c r="E9" s="32" t="s">
        <v>157</v>
      </c>
      <c r="F9" s="20">
        <v>50</v>
      </c>
      <c r="G9" s="20">
        <f>SUM(F9*1.68/30)</f>
        <v>2.8</v>
      </c>
      <c r="H9" s="20">
        <f>SUM(F9*0.33/30)</f>
        <v>0.55000000000000004</v>
      </c>
      <c r="I9" s="20">
        <f>SUM(F9*14.82/30)</f>
        <v>24.7</v>
      </c>
      <c r="J9" s="20">
        <f>SUM(F9*68.97/30)</f>
        <v>114.95</v>
      </c>
      <c r="K9" s="177" t="s">
        <v>27</v>
      </c>
      <c r="L9" s="41">
        <v>5.92</v>
      </c>
    </row>
    <row r="10" spans="1:12" ht="15.75">
      <c r="A10" s="16"/>
      <c r="B10" s="17"/>
      <c r="C10" s="18"/>
      <c r="D10" s="77"/>
      <c r="E10" s="78" t="s">
        <v>82</v>
      </c>
      <c r="F10" s="20">
        <v>175</v>
      </c>
      <c r="G10" s="20">
        <f>F10*0.4/100</f>
        <v>0.7</v>
      </c>
      <c r="H10" s="20">
        <f>F10*0.4/100</f>
        <v>0.7</v>
      </c>
      <c r="I10" s="20">
        <f>F10*10.95/100</f>
        <v>19.162499999999998</v>
      </c>
      <c r="J10" s="20">
        <f>F10*49/100</f>
        <v>85.75</v>
      </c>
      <c r="K10" s="177" t="s">
        <v>27</v>
      </c>
      <c r="L10" s="41">
        <v>36.22</v>
      </c>
    </row>
    <row r="11" spans="1:12" ht="15.75">
      <c r="A11" s="16"/>
      <c r="B11" s="17"/>
      <c r="C11" s="18"/>
      <c r="D11" s="77"/>
      <c r="E11" s="159" t="s">
        <v>150</v>
      </c>
      <c r="F11" s="160">
        <v>40</v>
      </c>
      <c r="G11" s="160">
        <v>5.0999999999999996</v>
      </c>
      <c r="H11" s="160">
        <v>4.68</v>
      </c>
      <c r="I11" s="160">
        <v>0.3</v>
      </c>
      <c r="J11" s="160">
        <v>63</v>
      </c>
      <c r="K11" s="177" t="s">
        <v>151</v>
      </c>
      <c r="L11" s="41">
        <v>11.2</v>
      </c>
    </row>
    <row r="12" spans="1:12" ht="15.75">
      <c r="A12" s="22"/>
      <c r="B12" s="23"/>
      <c r="C12" s="24"/>
      <c r="D12" s="169" t="s">
        <v>29</v>
      </c>
      <c r="E12" s="25"/>
      <c r="F12" s="26">
        <f>SUM(F6:F11)</f>
        <v>785</v>
      </c>
      <c r="G12" s="27">
        <f>G6+G7+G8+G9+G10+G11</f>
        <v>29.552500000000002</v>
      </c>
      <c r="H12" s="27">
        <f>SUM(H6:H11)</f>
        <v>28.56</v>
      </c>
      <c r="I12" s="27">
        <f>SUM(I6:I11)+0.01</f>
        <v>122.19750000000001</v>
      </c>
      <c r="J12" s="27">
        <f>SUM(J6:J11)</f>
        <v>863.73</v>
      </c>
      <c r="K12" s="178"/>
      <c r="L12" s="27">
        <f>SUM(L6:L11)</f>
        <v>147.82</v>
      </c>
    </row>
    <row r="13" spans="1:12" ht="31.5">
      <c r="A13" s="28">
        <f>A6</f>
        <v>1</v>
      </c>
      <c r="B13" s="29">
        <f>B6</f>
        <v>1</v>
      </c>
      <c r="C13" s="30" t="s">
        <v>30</v>
      </c>
      <c r="D13" s="168" t="s">
        <v>31</v>
      </c>
      <c r="E13" s="84" t="s">
        <v>103</v>
      </c>
      <c r="F13" s="20">
        <v>100</v>
      </c>
      <c r="G13" s="20">
        <f>F13*0.6/60</f>
        <v>1</v>
      </c>
      <c r="H13" s="20">
        <f>F13*6/60</f>
        <v>10</v>
      </c>
      <c r="I13" s="20">
        <f>F13*4.76/60</f>
        <v>7.9333333333333336</v>
      </c>
      <c r="J13" s="20">
        <f>F13*75.44/60</f>
        <v>125.73333333333333</v>
      </c>
      <c r="K13" s="179" t="s">
        <v>83</v>
      </c>
      <c r="L13" s="41">
        <v>16.23</v>
      </c>
    </row>
    <row r="14" spans="1:12" ht="15.75">
      <c r="A14" s="16"/>
      <c r="B14" s="17"/>
      <c r="C14" s="18"/>
      <c r="D14" s="168" t="s">
        <v>32</v>
      </c>
      <c r="E14" s="86" t="s">
        <v>104</v>
      </c>
      <c r="F14" s="15">
        <v>250</v>
      </c>
      <c r="G14" s="88">
        <f>F14*4.4/200</f>
        <v>5.5</v>
      </c>
      <c r="H14" s="88">
        <f>F14*4.5/200</f>
        <v>5.625</v>
      </c>
      <c r="I14" s="88">
        <f>F14*16.6/200</f>
        <v>20.75</v>
      </c>
      <c r="J14" s="88">
        <f>F14*124.5/200</f>
        <v>155.625</v>
      </c>
      <c r="K14" s="179" t="s">
        <v>84</v>
      </c>
      <c r="L14" s="41">
        <v>21.64</v>
      </c>
    </row>
    <row r="15" spans="1:12" ht="15.75">
      <c r="A15" s="16"/>
      <c r="B15" s="17"/>
      <c r="C15" s="18"/>
      <c r="D15" s="168" t="s">
        <v>33</v>
      </c>
      <c r="E15" s="85" t="s">
        <v>52</v>
      </c>
      <c r="F15" s="40">
        <v>110</v>
      </c>
      <c r="G15" s="40">
        <f>F15*14.04/90</f>
        <v>17.16</v>
      </c>
      <c r="H15" s="40">
        <f>F15*17.5/90</f>
        <v>21.388888888888889</v>
      </c>
      <c r="I15" s="40">
        <f>F15*14.3/90</f>
        <v>17.477777777777778</v>
      </c>
      <c r="J15" s="40">
        <f>F15*270.86/90</f>
        <v>331.05111111111114</v>
      </c>
      <c r="K15" s="179" t="s">
        <v>53</v>
      </c>
      <c r="L15" s="41">
        <v>70.709999999999994</v>
      </c>
    </row>
    <row r="16" spans="1:12" ht="15.75">
      <c r="A16" s="16"/>
      <c r="B16" s="17"/>
      <c r="C16" s="18"/>
      <c r="D16" s="168" t="s">
        <v>34</v>
      </c>
      <c r="E16" s="83" t="s">
        <v>35</v>
      </c>
      <c r="F16" s="15">
        <v>180</v>
      </c>
      <c r="G16" s="20">
        <f>F16*5.3/150</f>
        <v>6.36</v>
      </c>
      <c r="H16" s="20">
        <f>F16*3/150</f>
        <v>3.6</v>
      </c>
      <c r="I16" s="20">
        <f>F16*32.4/150</f>
        <v>38.880000000000003</v>
      </c>
      <c r="J16" s="20">
        <f>F16*178/150</f>
        <v>213.6</v>
      </c>
      <c r="K16" s="180" t="s">
        <v>74</v>
      </c>
      <c r="L16" s="41">
        <v>10.91</v>
      </c>
    </row>
    <row r="17" spans="1:12" ht="15.75">
      <c r="A17" s="16"/>
      <c r="B17" s="17"/>
      <c r="C17" s="18"/>
      <c r="D17" s="168" t="s">
        <v>96</v>
      </c>
      <c r="E17" s="83" t="s">
        <v>36</v>
      </c>
      <c r="F17" s="15">
        <v>200</v>
      </c>
      <c r="G17" s="87">
        <v>0.4</v>
      </c>
      <c r="H17" s="87">
        <v>0.2</v>
      </c>
      <c r="I17" s="87">
        <v>16.100000000000001</v>
      </c>
      <c r="J17" s="87">
        <v>68</v>
      </c>
      <c r="K17" s="180">
        <v>44206</v>
      </c>
      <c r="L17" s="41">
        <v>16.48</v>
      </c>
    </row>
    <row r="18" spans="1:12" ht="15.75">
      <c r="A18" s="16"/>
      <c r="B18" s="17"/>
      <c r="C18" s="18"/>
      <c r="D18" s="168" t="s">
        <v>37</v>
      </c>
      <c r="E18" s="21" t="s">
        <v>38</v>
      </c>
      <c r="F18" s="20">
        <v>50</v>
      </c>
      <c r="G18" s="20">
        <f>SUM(F18*2.37/30)</f>
        <v>3.95</v>
      </c>
      <c r="H18" s="20">
        <f>SUM(F18*0.3/30)</f>
        <v>0.5</v>
      </c>
      <c r="I18" s="20">
        <f>SUM(F18*14.49/30)</f>
        <v>24.15</v>
      </c>
      <c r="J18" s="20">
        <f>SUM(F18*70.14/30)</f>
        <v>116.9</v>
      </c>
      <c r="K18" s="180" t="s">
        <v>27</v>
      </c>
      <c r="L18" s="41">
        <v>6.4</v>
      </c>
    </row>
    <row r="19" spans="1:12" ht="15.75">
      <c r="A19" s="16"/>
      <c r="B19" s="17"/>
      <c r="C19" s="18"/>
      <c r="D19" s="168" t="s">
        <v>39</v>
      </c>
      <c r="E19" s="83" t="s">
        <v>157</v>
      </c>
      <c r="F19" s="20">
        <v>46</v>
      </c>
      <c r="G19" s="20">
        <f>SUM(F19*1.68/30)</f>
        <v>2.5760000000000001</v>
      </c>
      <c r="H19" s="20">
        <f>SUM(F19*0.33/30)</f>
        <v>0.50600000000000001</v>
      </c>
      <c r="I19" s="20">
        <f>SUM(F19*14.82/30)</f>
        <v>22.724</v>
      </c>
      <c r="J19" s="20">
        <f>SUM(F19*68.97/30)</f>
        <v>105.75399999999999</v>
      </c>
      <c r="K19" s="180" t="s">
        <v>41</v>
      </c>
      <c r="L19" s="41">
        <v>5.45</v>
      </c>
    </row>
    <row r="20" spans="1:12" ht="15.75">
      <c r="A20" s="16"/>
      <c r="B20" s="17"/>
      <c r="C20" s="18"/>
      <c r="D20" s="77"/>
      <c r="E20" s="161"/>
      <c r="F20" s="162"/>
      <c r="G20" s="162"/>
      <c r="H20" s="162"/>
      <c r="I20" s="162"/>
      <c r="J20" s="162"/>
      <c r="K20" s="181"/>
      <c r="L20" s="41"/>
    </row>
    <row r="21" spans="1:12" ht="15.75">
      <c r="A21" s="16"/>
      <c r="B21" s="17"/>
      <c r="C21" s="18"/>
      <c r="D21" s="77"/>
      <c r="E21" s="161"/>
      <c r="F21" s="162"/>
      <c r="G21" s="162"/>
      <c r="H21" s="162"/>
      <c r="I21" s="162"/>
      <c r="J21" s="162"/>
      <c r="K21" s="181"/>
      <c r="L21" s="41"/>
    </row>
    <row r="22" spans="1:12" ht="15.75">
      <c r="A22" s="22"/>
      <c r="B22" s="23"/>
      <c r="C22" s="24"/>
      <c r="D22" s="169" t="s">
        <v>29</v>
      </c>
      <c r="E22" s="25"/>
      <c r="F22" s="26">
        <f>SUM(F13:F21)</f>
        <v>936</v>
      </c>
      <c r="G22" s="27">
        <f t="shared" ref="G22:J22" si="0">SUM(G13:G21)</f>
        <v>36.945999999999998</v>
      </c>
      <c r="H22" s="27">
        <f t="shared" si="0"/>
        <v>41.81988888888889</v>
      </c>
      <c r="I22" s="27">
        <f t="shared" si="0"/>
        <v>148.01511111111111</v>
      </c>
      <c r="J22" s="27">
        <f t="shared" si="0"/>
        <v>1116.6634444444444</v>
      </c>
      <c r="K22" s="178"/>
      <c r="L22" s="27">
        <f t="shared" ref="L22" si="1">SUM(L13:L21)</f>
        <v>147.82</v>
      </c>
    </row>
    <row r="23" spans="1:12" ht="16.5" thickBot="1">
      <c r="A23" s="33">
        <f>A6</f>
        <v>1</v>
      </c>
      <c r="B23" s="34">
        <f>B6</f>
        <v>1</v>
      </c>
      <c r="C23" s="249" t="s">
        <v>40</v>
      </c>
      <c r="D23" s="250"/>
      <c r="E23" s="35"/>
      <c r="F23" s="36">
        <f>F12+F22</f>
        <v>1721</v>
      </c>
      <c r="G23" s="36">
        <f t="shared" ref="G23:J23" si="2">G12+G22</f>
        <v>66.498500000000007</v>
      </c>
      <c r="H23" s="36">
        <f t="shared" si="2"/>
        <v>70.379888888888885</v>
      </c>
      <c r="I23" s="36">
        <f t="shared" si="2"/>
        <v>270.21261111111113</v>
      </c>
      <c r="J23" s="36">
        <f t="shared" si="2"/>
        <v>1980.3934444444444</v>
      </c>
      <c r="K23" s="182"/>
      <c r="L23" s="44">
        <f t="shared" ref="L23" si="3">L12+L22</f>
        <v>295.64</v>
      </c>
    </row>
    <row r="24" spans="1:12" ht="15.75">
      <c r="A24" s="37">
        <v>1</v>
      </c>
      <c r="B24" s="17">
        <v>2</v>
      </c>
      <c r="C24" s="18"/>
      <c r="D24" s="168" t="s">
        <v>33</v>
      </c>
      <c r="E24" s="92" t="s">
        <v>86</v>
      </c>
      <c r="F24" s="40">
        <v>115</v>
      </c>
      <c r="G24" s="40">
        <f>F24*14/100</f>
        <v>16.100000000000001</v>
      </c>
      <c r="H24" s="40">
        <f>F24*15/100</f>
        <v>17.25</v>
      </c>
      <c r="I24" s="40">
        <f>F24*8.7/100</f>
        <v>10.004999999999999</v>
      </c>
      <c r="J24" s="40">
        <f>F24*203.22/90</f>
        <v>259.67</v>
      </c>
      <c r="K24" s="183" t="s">
        <v>55</v>
      </c>
      <c r="L24" s="41">
        <v>105.04</v>
      </c>
    </row>
    <row r="25" spans="1:12" ht="15.75">
      <c r="A25" s="37"/>
      <c r="B25" s="17"/>
      <c r="C25" s="18"/>
      <c r="D25" s="170" t="s">
        <v>34</v>
      </c>
      <c r="E25" s="91" t="s">
        <v>56</v>
      </c>
      <c r="F25" s="20">
        <v>180</v>
      </c>
      <c r="G25" s="20">
        <f>F25*3.17/150</f>
        <v>3.8040000000000003</v>
      </c>
      <c r="H25" s="20">
        <f>F25*3.67/150</f>
        <v>4.4039999999999999</v>
      </c>
      <c r="I25" s="20">
        <f>F25*20.4/150</f>
        <v>24.479999999999997</v>
      </c>
      <c r="J25" s="40">
        <f>F25*127.5/150</f>
        <v>153</v>
      </c>
      <c r="K25" s="183">
        <v>44258</v>
      </c>
      <c r="L25" s="41">
        <v>23.58</v>
      </c>
    </row>
    <row r="26" spans="1:12" ht="15.75">
      <c r="A26" s="37"/>
      <c r="B26" s="17"/>
      <c r="C26" s="18"/>
      <c r="D26" s="168" t="s">
        <v>24</v>
      </c>
      <c r="E26" s="89" t="s">
        <v>46</v>
      </c>
      <c r="F26" s="20">
        <v>200</v>
      </c>
      <c r="G26" s="20">
        <v>1</v>
      </c>
      <c r="H26" s="20">
        <v>0.1</v>
      </c>
      <c r="I26" s="20">
        <v>19.8</v>
      </c>
      <c r="J26" s="20">
        <v>84.1</v>
      </c>
      <c r="K26" s="177" t="s">
        <v>79</v>
      </c>
      <c r="L26" s="41">
        <v>6.75</v>
      </c>
    </row>
    <row r="27" spans="1:12" ht="15.75">
      <c r="A27" s="37"/>
      <c r="B27" s="17"/>
      <c r="C27" s="18"/>
      <c r="D27" s="168" t="s">
        <v>37</v>
      </c>
      <c r="E27" s="21" t="s">
        <v>38</v>
      </c>
      <c r="F27" s="20">
        <v>51</v>
      </c>
      <c r="G27" s="20">
        <f>SUM(F27*2.37/30)</f>
        <v>4.0289999999999999</v>
      </c>
      <c r="H27" s="20">
        <f>SUM(F27*0.3/30)</f>
        <v>0.51</v>
      </c>
      <c r="I27" s="20">
        <f>SUM(F27*14.49/30)</f>
        <v>24.632999999999999</v>
      </c>
      <c r="J27" s="20">
        <f>SUM(F27*70.14/30)</f>
        <v>119.238</v>
      </c>
      <c r="K27" s="177" t="s">
        <v>27</v>
      </c>
      <c r="L27" s="41">
        <v>6.53</v>
      </c>
    </row>
    <row r="28" spans="1:12" ht="15.75">
      <c r="A28" s="37"/>
      <c r="B28" s="17"/>
      <c r="C28" s="18"/>
      <c r="D28" s="168" t="s">
        <v>39</v>
      </c>
      <c r="E28" s="90" t="s">
        <v>157</v>
      </c>
      <c r="F28" s="20">
        <v>50</v>
      </c>
      <c r="G28" s="20">
        <f>SUM(F28*1.68/30)</f>
        <v>2.8</v>
      </c>
      <c r="H28" s="20">
        <f>SUM(F28*0.33/30)</f>
        <v>0.55000000000000004</v>
      </c>
      <c r="I28" s="20">
        <f>SUM(F28*14.82/30)</f>
        <v>24.7</v>
      </c>
      <c r="J28" s="20">
        <f>SUM(F28*68.97/30)</f>
        <v>114.95</v>
      </c>
      <c r="K28" s="181" t="s">
        <v>27</v>
      </c>
      <c r="L28" s="41">
        <v>5.92</v>
      </c>
    </row>
    <row r="29" spans="1:12" ht="15.75">
      <c r="A29" s="37"/>
      <c r="B29" s="17"/>
      <c r="C29" s="18"/>
      <c r="D29" s="77"/>
      <c r="E29" s="161"/>
      <c r="F29" s="73"/>
      <c r="G29" s="73"/>
      <c r="H29" s="73"/>
      <c r="I29" s="73"/>
      <c r="J29" s="73"/>
      <c r="K29" s="181"/>
      <c r="L29" s="41"/>
    </row>
    <row r="30" spans="1:12" ht="15.75">
      <c r="A30" s="42"/>
      <c r="B30" s="23"/>
      <c r="C30" s="24"/>
      <c r="D30" s="169" t="s">
        <v>29</v>
      </c>
      <c r="E30" s="25"/>
      <c r="F30" s="27">
        <f>SUM(F24:F29)</f>
        <v>596</v>
      </c>
      <c r="G30" s="27">
        <f>SUM(G24:G29)</f>
        <v>27.733000000000004</v>
      </c>
      <c r="H30" s="27">
        <f>SUM(H24:H29)</f>
        <v>22.814000000000004</v>
      </c>
      <c r="I30" s="27">
        <f>SUM(I24:I29)</f>
        <v>103.61799999999999</v>
      </c>
      <c r="J30" s="27">
        <f>SUM(J24:J29)</f>
        <v>730.95800000000008</v>
      </c>
      <c r="K30" s="178"/>
      <c r="L30" s="27">
        <f>SUM(L24:L29)</f>
        <v>147.82</v>
      </c>
    </row>
    <row r="31" spans="1:12" ht="31.5">
      <c r="A31" s="29">
        <v>1</v>
      </c>
      <c r="B31" s="29">
        <v>2</v>
      </c>
      <c r="C31" s="30" t="s">
        <v>30</v>
      </c>
      <c r="D31" s="168" t="s">
        <v>31</v>
      </c>
      <c r="E31" s="95" t="s">
        <v>87</v>
      </c>
      <c r="F31" s="20">
        <v>100</v>
      </c>
      <c r="G31" s="20">
        <f>F31*0.84/60</f>
        <v>1.4</v>
      </c>
      <c r="H31" s="20">
        <f>F31*3.6/60</f>
        <v>6</v>
      </c>
      <c r="I31" s="20">
        <f>F31*4.08/60</f>
        <v>6.8</v>
      </c>
      <c r="J31" s="20">
        <f>F31*52.2/60</f>
        <v>87</v>
      </c>
      <c r="K31" s="177" t="s">
        <v>58</v>
      </c>
      <c r="L31" s="41">
        <v>11.27</v>
      </c>
    </row>
    <row r="32" spans="1:12" ht="15.75">
      <c r="A32" s="37"/>
      <c r="B32" s="17"/>
      <c r="C32" s="18"/>
      <c r="D32" s="168" t="s">
        <v>32</v>
      </c>
      <c r="E32" s="94" t="s">
        <v>105</v>
      </c>
      <c r="F32" s="40">
        <v>250</v>
      </c>
      <c r="G32" s="40">
        <f>F32*1.9/200</f>
        <v>2.375</v>
      </c>
      <c r="H32" s="40">
        <f>F32*5.52/200</f>
        <v>6.9</v>
      </c>
      <c r="I32" s="40">
        <f>F32*9.4/200</f>
        <v>11.75</v>
      </c>
      <c r="J32" s="40">
        <f>F32*94.8/200</f>
        <v>118.5</v>
      </c>
      <c r="K32" s="177">
        <v>45708</v>
      </c>
      <c r="L32" s="41">
        <v>29.34</v>
      </c>
    </row>
    <row r="33" spans="1:14" ht="15.75">
      <c r="A33" s="37"/>
      <c r="B33" s="17"/>
      <c r="C33" s="18"/>
      <c r="D33" s="168" t="s">
        <v>33</v>
      </c>
      <c r="E33" s="93" t="s">
        <v>59</v>
      </c>
      <c r="F33" s="40">
        <v>265</v>
      </c>
      <c r="G33" s="40">
        <f>F33*18.5/250</f>
        <v>19.61</v>
      </c>
      <c r="H33" s="40">
        <f>F33*20.6/250</f>
        <v>21.835999999999999</v>
      </c>
      <c r="I33" s="40">
        <f>F33*43.2/250</f>
        <v>45.792000000000002</v>
      </c>
      <c r="J33" s="40">
        <f>F33*397.62/230</f>
        <v>458.12739130434784</v>
      </c>
      <c r="K33" s="181">
        <v>44294</v>
      </c>
      <c r="L33" s="41">
        <v>87.09</v>
      </c>
    </row>
    <row r="34" spans="1:14" ht="15.75">
      <c r="A34" s="37"/>
      <c r="B34" s="17"/>
      <c r="C34" s="18"/>
      <c r="D34" s="168" t="s">
        <v>96</v>
      </c>
      <c r="E34" s="93" t="s">
        <v>49</v>
      </c>
      <c r="F34" s="20">
        <v>200</v>
      </c>
      <c r="G34" s="20">
        <v>0</v>
      </c>
      <c r="H34" s="20">
        <v>0</v>
      </c>
      <c r="I34" s="20">
        <v>27.8</v>
      </c>
      <c r="J34" s="20">
        <v>111</v>
      </c>
      <c r="K34" s="181">
        <v>948</v>
      </c>
      <c r="L34" s="41">
        <v>7.3</v>
      </c>
    </row>
    <row r="35" spans="1:14" ht="15.75">
      <c r="A35" s="37"/>
      <c r="B35" s="17"/>
      <c r="C35" s="18"/>
      <c r="D35" s="168" t="s">
        <v>96</v>
      </c>
      <c r="E35" s="21" t="s">
        <v>38</v>
      </c>
      <c r="F35" s="20">
        <v>53</v>
      </c>
      <c r="G35" s="20">
        <f>SUM(F35*2.37/30)</f>
        <v>4.1870000000000003</v>
      </c>
      <c r="H35" s="20">
        <f>SUM(F35*0.3/30)</f>
        <v>0.52999999999999992</v>
      </c>
      <c r="I35" s="20">
        <f>SUM(F35*14.49/30)</f>
        <v>25.599</v>
      </c>
      <c r="J35" s="20">
        <f>SUM(F35*70.14/30)</f>
        <v>123.914</v>
      </c>
      <c r="K35" s="181" t="s">
        <v>27</v>
      </c>
      <c r="L35" s="41">
        <v>6.78</v>
      </c>
      <c r="N35" s="1">
        <v>1</v>
      </c>
    </row>
    <row r="36" spans="1:14" ht="15.75">
      <c r="A36" s="37"/>
      <c r="B36" s="17"/>
      <c r="C36" s="18"/>
      <c r="D36" s="168" t="s">
        <v>39</v>
      </c>
      <c r="E36" s="32" t="s">
        <v>157</v>
      </c>
      <c r="F36" s="20">
        <v>51</v>
      </c>
      <c r="G36" s="20">
        <f>SUM(F36*1.68/30)</f>
        <v>2.8559999999999999</v>
      </c>
      <c r="H36" s="20">
        <f>SUM(F36*0.33/30)</f>
        <v>0.56100000000000005</v>
      </c>
      <c r="I36" s="20">
        <f>SUM(F36*14.82/30)</f>
        <v>25.194000000000003</v>
      </c>
      <c r="J36" s="20">
        <f>SUM(F36*68.97/30)</f>
        <v>117.249</v>
      </c>
      <c r="K36" s="181" t="s">
        <v>27</v>
      </c>
      <c r="L36" s="41">
        <v>6.04</v>
      </c>
    </row>
    <row r="37" spans="1:14" ht="15.75">
      <c r="A37" s="37"/>
      <c r="B37" s="17"/>
      <c r="C37" s="18"/>
      <c r="D37" s="77"/>
      <c r="E37" s="161"/>
      <c r="F37" s="73"/>
      <c r="G37" s="73"/>
      <c r="H37" s="73"/>
      <c r="I37" s="73"/>
      <c r="J37" s="73"/>
      <c r="K37" s="181"/>
      <c r="L37" s="41"/>
    </row>
    <row r="38" spans="1:14" ht="15.75">
      <c r="A38" s="37"/>
      <c r="B38" s="17"/>
      <c r="C38" s="18"/>
      <c r="D38" s="77"/>
      <c r="E38" s="161"/>
      <c r="F38" s="73"/>
      <c r="G38" s="73"/>
      <c r="H38" s="73"/>
      <c r="I38" s="73"/>
      <c r="J38" s="73"/>
      <c r="K38" s="181"/>
      <c r="L38" s="41"/>
    </row>
    <row r="39" spans="1:14" ht="15.75">
      <c r="A39" s="42"/>
      <c r="B39" s="23"/>
      <c r="C39" s="24"/>
      <c r="D39" s="169" t="s">
        <v>29</v>
      </c>
      <c r="E39" s="25"/>
      <c r="F39" s="27">
        <f>SUM(F31:F38)</f>
        <v>919</v>
      </c>
      <c r="G39" s="27">
        <f>SUM(G31:G38)</f>
        <v>30.427999999999997</v>
      </c>
      <c r="H39" s="27">
        <f>SUM(H31:H38)</f>
        <v>35.826999999999998</v>
      </c>
      <c r="I39" s="27">
        <f>SUM(I31:I38)</f>
        <v>142.935</v>
      </c>
      <c r="J39" s="27">
        <f>SUM(J31:J38)</f>
        <v>1015.7903913043478</v>
      </c>
      <c r="K39" s="178"/>
      <c r="L39" s="27">
        <f>SUM(L31:L38)</f>
        <v>147.82</v>
      </c>
    </row>
    <row r="40" spans="1:14" ht="15.75" customHeight="1">
      <c r="A40" s="43" t="e">
        <f>#REF!</f>
        <v>#REF!</v>
      </c>
      <c r="B40" s="43" t="e">
        <f>#REF!</f>
        <v>#REF!</v>
      </c>
      <c r="C40" s="249" t="s">
        <v>40</v>
      </c>
      <c r="D40" s="250"/>
      <c r="E40" s="35"/>
      <c r="F40" s="44">
        <f>F30+F39</f>
        <v>1515</v>
      </c>
      <c r="G40" s="44">
        <f>G30+G39</f>
        <v>58.161000000000001</v>
      </c>
      <c r="H40" s="44">
        <f>H30+H39</f>
        <v>58.641000000000005</v>
      </c>
      <c r="I40" s="44">
        <f>I30+I39</f>
        <v>246.553</v>
      </c>
      <c r="J40" s="44">
        <f>J30+J39</f>
        <v>1746.7483913043479</v>
      </c>
      <c r="K40" s="182"/>
      <c r="L40" s="44">
        <f>L30+L39</f>
        <v>295.64</v>
      </c>
    </row>
    <row r="41" spans="1:14" ht="15.75">
      <c r="A41" s="12">
        <v>1</v>
      </c>
      <c r="B41" s="13">
        <v>3</v>
      </c>
      <c r="C41" s="14" t="s">
        <v>22</v>
      </c>
      <c r="D41" s="167"/>
      <c r="E41" s="38"/>
      <c r="F41" s="20"/>
      <c r="G41" s="20"/>
      <c r="H41" s="20"/>
      <c r="I41" s="20"/>
      <c r="J41" s="20"/>
      <c r="K41" s="176"/>
      <c r="L41" s="48"/>
    </row>
    <row r="42" spans="1:14" ht="15.75">
      <c r="A42" s="16"/>
      <c r="B42" s="17"/>
      <c r="C42" s="18"/>
      <c r="D42" s="167" t="s">
        <v>33</v>
      </c>
      <c r="E42" s="45" t="s">
        <v>45</v>
      </c>
      <c r="F42" s="20">
        <v>129</v>
      </c>
      <c r="G42" s="20">
        <f>F42*17.19/90</f>
        <v>24.639000000000003</v>
      </c>
      <c r="H42" s="20">
        <f>F42*14.31/90</f>
        <v>20.510999999999999</v>
      </c>
      <c r="I42" s="20">
        <f>F42*0.18/90</f>
        <v>0.25800000000000001</v>
      </c>
      <c r="J42" s="20">
        <f>F42*198/90</f>
        <v>283.8</v>
      </c>
      <c r="K42" s="184">
        <v>4232</v>
      </c>
      <c r="L42" s="48">
        <v>87.92</v>
      </c>
    </row>
    <row r="43" spans="1:14" ht="15.75">
      <c r="A43" s="16"/>
      <c r="B43" s="17"/>
      <c r="C43" s="18"/>
      <c r="D43" s="77" t="s">
        <v>34</v>
      </c>
      <c r="E43" s="32" t="s">
        <v>35</v>
      </c>
      <c r="F43" s="15">
        <v>180</v>
      </c>
      <c r="G43" s="20">
        <f>F43*5.3/150</f>
        <v>6.36</v>
      </c>
      <c r="H43" s="20">
        <f>F43*3/150</f>
        <v>3.6</v>
      </c>
      <c r="I43" s="20">
        <f>F43*32.4/150</f>
        <v>38.880000000000003</v>
      </c>
      <c r="J43" s="20">
        <f>F43*178/150</f>
        <v>213.6</v>
      </c>
      <c r="K43" s="181">
        <v>46.3</v>
      </c>
      <c r="L43" s="41">
        <v>10.91</v>
      </c>
    </row>
    <row r="44" spans="1:14" ht="15.75">
      <c r="A44" s="16"/>
      <c r="B44" s="17"/>
      <c r="C44" s="18"/>
      <c r="D44" s="168" t="s">
        <v>24</v>
      </c>
      <c r="E44" s="59" t="s">
        <v>106</v>
      </c>
      <c r="F44" s="40">
        <v>200</v>
      </c>
      <c r="G44" s="40">
        <v>3.6</v>
      </c>
      <c r="H44" s="40">
        <v>3.3</v>
      </c>
      <c r="I44" s="40">
        <v>22.8</v>
      </c>
      <c r="J44" s="40">
        <v>135</v>
      </c>
      <c r="K44" s="185" t="s">
        <v>57</v>
      </c>
      <c r="L44" s="41">
        <v>15.91</v>
      </c>
    </row>
    <row r="45" spans="1:14" ht="15.75">
      <c r="A45" s="16"/>
      <c r="B45" s="17"/>
      <c r="C45" s="18"/>
      <c r="D45" s="168" t="s">
        <v>37</v>
      </c>
      <c r="E45" s="21" t="s">
        <v>38</v>
      </c>
      <c r="F45" s="20">
        <v>51</v>
      </c>
      <c r="G45" s="20">
        <f>SUM(F45*2.37/30)</f>
        <v>4.0289999999999999</v>
      </c>
      <c r="H45" s="20">
        <f>SUM(F45*0.3/30)</f>
        <v>0.51</v>
      </c>
      <c r="I45" s="20">
        <f>SUM(F45*14.49/30)</f>
        <v>24.632999999999999</v>
      </c>
      <c r="J45" s="20">
        <f>SUM(F45*70.14/30)</f>
        <v>119.238</v>
      </c>
      <c r="K45" s="181" t="s">
        <v>27</v>
      </c>
      <c r="L45" s="41">
        <v>6.53</v>
      </c>
    </row>
    <row r="46" spans="1:14" ht="15.75">
      <c r="A46" s="16"/>
      <c r="B46" s="17"/>
      <c r="C46" s="18"/>
      <c r="D46" s="168" t="s">
        <v>39</v>
      </c>
      <c r="E46" s="32" t="s">
        <v>157</v>
      </c>
      <c r="F46" s="20">
        <v>50</v>
      </c>
      <c r="G46" s="20">
        <f>SUM(F46*1.68/30)</f>
        <v>2.8</v>
      </c>
      <c r="H46" s="20">
        <f>SUM(F46*0.33/30)</f>
        <v>0.55000000000000004</v>
      </c>
      <c r="I46" s="20">
        <f>SUM(F46*14.82/30)</f>
        <v>24.7</v>
      </c>
      <c r="J46" s="20">
        <f>SUM(F46*68.97/30)</f>
        <v>114.95</v>
      </c>
      <c r="K46" s="181" t="s">
        <v>27</v>
      </c>
      <c r="L46" s="41">
        <v>5.92</v>
      </c>
    </row>
    <row r="47" spans="1:14" ht="45.75" customHeight="1">
      <c r="A47" s="16"/>
      <c r="B47" s="17"/>
      <c r="C47" s="18"/>
      <c r="D47" s="77"/>
      <c r="E47" s="74" t="s">
        <v>152</v>
      </c>
      <c r="F47" s="76">
        <v>120</v>
      </c>
      <c r="G47" s="76">
        <v>3</v>
      </c>
      <c r="H47" s="76">
        <v>12</v>
      </c>
      <c r="I47" s="76">
        <v>8.5</v>
      </c>
      <c r="J47" s="76">
        <v>154</v>
      </c>
      <c r="K47" s="186">
        <v>44409</v>
      </c>
      <c r="L47" s="75">
        <v>20.63</v>
      </c>
    </row>
    <row r="48" spans="1:14" ht="15.75">
      <c r="A48" s="22"/>
      <c r="B48" s="23"/>
      <c r="C48" s="24"/>
      <c r="D48" s="169" t="s">
        <v>29</v>
      </c>
      <c r="E48" s="25"/>
      <c r="F48" s="27">
        <f>SUM(F41:F47)</f>
        <v>730</v>
      </c>
      <c r="G48" s="27">
        <f t="shared" ref="G48" si="4">SUM(G41:G47)</f>
        <v>44.427999999999997</v>
      </c>
      <c r="H48" s="27">
        <f t="shared" ref="H48" si="5">SUM(H41:H47)</f>
        <v>40.471000000000004</v>
      </c>
      <c r="I48" s="27">
        <f t="shared" ref="I48" si="6">SUM(I41:I47)</f>
        <v>119.771</v>
      </c>
      <c r="J48" s="27">
        <f t="shared" ref="J48:L48" si="7">SUM(J41:J47)</f>
        <v>1020.588</v>
      </c>
      <c r="K48" s="178"/>
      <c r="L48" s="27">
        <f t="shared" si="7"/>
        <v>147.82</v>
      </c>
    </row>
    <row r="49" spans="1:12" ht="31.5">
      <c r="A49" s="28">
        <f>A41</f>
        <v>1</v>
      </c>
      <c r="B49" s="29">
        <f>B41</f>
        <v>3</v>
      </c>
      <c r="C49" s="30" t="s">
        <v>30</v>
      </c>
      <c r="D49" s="168" t="s">
        <v>31</v>
      </c>
      <c r="E49" s="100" t="s">
        <v>107</v>
      </c>
      <c r="F49" s="87">
        <v>100</v>
      </c>
      <c r="G49" s="87">
        <f>F49*3.24/60</f>
        <v>5.4</v>
      </c>
      <c r="H49" s="87">
        <f>F49*7.76/60</f>
        <v>12.933333333333334</v>
      </c>
      <c r="I49" s="87">
        <f>F49*25.26/60</f>
        <v>42.1</v>
      </c>
      <c r="J49" s="87">
        <f>F49*183.84/60</f>
        <v>306.39999999999998</v>
      </c>
      <c r="K49" s="181" t="s">
        <v>108</v>
      </c>
      <c r="L49" s="41">
        <v>18.239999999999998</v>
      </c>
    </row>
    <row r="50" spans="1:12" ht="32.25" thickBot="1">
      <c r="A50" s="16"/>
      <c r="B50" s="17"/>
      <c r="C50" s="18"/>
      <c r="D50" s="168" t="s">
        <v>32</v>
      </c>
      <c r="E50" s="99" t="s">
        <v>47</v>
      </c>
      <c r="F50" s="87">
        <v>250</v>
      </c>
      <c r="G50" s="87">
        <f>F50*2.7/250</f>
        <v>2.7</v>
      </c>
      <c r="H50" s="87">
        <f>F50*4.8/250</f>
        <v>4.8</v>
      </c>
      <c r="I50" s="87">
        <f>F50*8.2/250</f>
        <v>8.1999999999999993</v>
      </c>
      <c r="J50" s="87">
        <f>F50*86.6/250</f>
        <v>86.6</v>
      </c>
      <c r="K50" s="183" t="s">
        <v>109</v>
      </c>
      <c r="L50" s="41">
        <v>19.91</v>
      </c>
    </row>
    <row r="51" spans="1:12" ht="15.75">
      <c r="A51" s="16"/>
      <c r="B51" s="17"/>
      <c r="C51" s="18"/>
      <c r="D51" s="168" t="s">
        <v>33</v>
      </c>
      <c r="E51" s="97" t="s">
        <v>97</v>
      </c>
      <c r="F51" s="20">
        <v>100</v>
      </c>
      <c r="G51" s="20">
        <f>F51*11.6/90</f>
        <v>12.888888888888889</v>
      </c>
      <c r="H51" s="20">
        <f>F51*12.1/90-0.05</f>
        <v>13.394444444444444</v>
      </c>
      <c r="I51" s="20">
        <f>F51*13.1/90</f>
        <v>14.555555555555555</v>
      </c>
      <c r="J51" s="20">
        <f>F51*207.7/90</f>
        <v>230.77777777777777</v>
      </c>
      <c r="K51" s="187">
        <v>44533</v>
      </c>
      <c r="L51" s="41">
        <v>72.14</v>
      </c>
    </row>
    <row r="52" spans="1:12" ht="15.75">
      <c r="A52" s="16"/>
      <c r="B52" s="17"/>
      <c r="C52" s="18"/>
      <c r="D52" s="168" t="s">
        <v>34</v>
      </c>
      <c r="E52" s="98" t="s">
        <v>158</v>
      </c>
      <c r="F52" s="40">
        <v>180</v>
      </c>
      <c r="G52" s="40">
        <f>F52*3.25/150</f>
        <v>3.9</v>
      </c>
      <c r="H52" s="40">
        <f>F52*2.85/150</f>
        <v>3.42</v>
      </c>
      <c r="I52" s="40">
        <f>F52*11.9/150</f>
        <v>14.28</v>
      </c>
      <c r="J52" s="40">
        <f>F52*87/150</f>
        <v>104.4</v>
      </c>
      <c r="K52" s="183">
        <v>44533</v>
      </c>
      <c r="L52" s="41">
        <v>17.57</v>
      </c>
    </row>
    <row r="53" spans="1:12" ht="15.75">
      <c r="A53" s="16"/>
      <c r="B53" s="17"/>
      <c r="C53" s="18"/>
      <c r="D53" s="168" t="s">
        <v>96</v>
      </c>
      <c r="E53" s="98" t="s">
        <v>43</v>
      </c>
      <c r="F53" s="87">
        <v>200</v>
      </c>
      <c r="G53" s="87">
        <v>0</v>
      </c>
      <c r="H53" s="87">
        <v>0</v>
      </c>
      <c r="I53" s="87">
        <v>12</v>
      </c>
      <c r="J53" s="87">
        <v>48</v>
      </c>
      <c r="K53" s="181" t="s">
        <v>44</v>
      </c>
      <c r="L53" s="41">
        <v>12.57</v>
      </c>
    </row>
    <row r="54" spans="1:12" ht="15.75">
      <c r="A54" s="16"/>
      <c r="B54" s="17"/>
      <c r="C54" s="18"/>
      <c r="D54" s="168" t="s">
        <v>37</v>
      </c>
      <c r="E54" s="21" t="s">
        <v>38</v>
      </c>
      <c r="F54" s="20">
        <v>30</v>
      </c>
      <c r="G54" s="20">
        <f>SUM(F54*2.37/30)</f>
        <v>2.37</v>
      </c>
      <c r="H54" s="20">
        <f>SUM(F54*0.3/30)</f>
        <v>0.3</v>
      </c>
      <c r="I54" s="20">
        <f>SUM(F54*14.49/30)</f>
        <v>14.49</v>
      </c>
      <c r="J54" s="20">
        <f>SUM(F54*70.14/30)</f>
        <v>70.14</v>
      </c>
      <c r="K54" s="181" t="s">
        <v>27</v>
      </c>
      <c r="L54" s="41">
        <v>3.84</v>
      </c>
    </row>
    <row r="55" spans="1:12" ht="15.75">
      <c r="A55" s="16"/>
      <c r="B55" s="17"/>
      <c r="C55" s="18"/>
      <c r="D55" s="168" t="s">
        <v>39</v>
      </c>
      <c r="E55" s="96" t="s">
        <v>157</v>
      </c>
      <c r="F55" s="20">
        <v>30</v>
      </c>
      <c r="G55" s="20">
        <f>SUM(F55*1.68/30)</f>
        <v>1.68</v>
      </c>
      <c r="H55" s="20">
        <f>SUM(F55*0.33/30)</f>
        <v>0.33</v>
      </c>
      <c r="I55" s="20">
        <f>SUM(F55*14.82/30)</f>
        <v>14.82</v>
      </c>
      <c r="J55" s="20">
        <f>SUM(F55*68.97/30)</f>
        <v>68.97</v>
      </c>
      <c r="K55" s="181" t="s">
        <v>27</v>
      </c>
      <c r="L55" s="41">
        <v>3.55</v>
      </c>
    </row>
    <row r="56" spans="1:12" ht="15.75">
      <c r="A56" s="16"/>
      <c r="B56" s="17"/>
      <c r="C56" s="18"/>
      <c r="D56" s="77"/>
      <c r="E56" s="161"/>
      <c r="F56" s="73"/>
      <c r="G56" s="73"/>
      <c r="H56" s="73"/>
      <c r="I56" s="73"/>
      <c r="J56" s="73"/>
      <c r="K56" s="181"/>
      <c r="L56" s="41"/>
    </row>
    <row r="57" spans="1:12" ht="15.75">
      <c r="A57" s="16"/>
      <c r="B57" s="17"/>
      <c r="C57" s="18"/>
      <c r="D57" s="77"/>
      <c r="E57" s="161"/>
      <c r="F57" s="73"/>
      <c r="G57" s="73"/>
      <c r="H57" s="73"/>
      <c r="I57" s="73"/>
      <c r="J57" s="73"/>
      <c r="K57" s="181"/>
      <c r="L57" s="41"/>
    </row>
    <row r="58" spans="1:12" ht="15.75">
      <c r="A58" s="22"/>
      <c r="B58" s="23"/>
      <c r="C58" s="24"/>
      <c r="D58" s="169" t="s">
        <v>29</v>
      </c>
      <c r="E58" s="25"/>
      <c r="F58" s="27">
        <f>SUM(F49:F57)</f>
        <v>890</v>
      </c>
      <c r="G58" s="27">
        <f t="shared" ref="G58" si="8">SUM(G49:G57)</f>
        <v>28.93888888888889</v>
      </c>
      <c r="H58" s="27">
        <f>SUM(H49:H57)-0.01</f>
        <v>35.167777777777779</v>
      </c>
      <c r="I58" s="27">
        <f t="shared" ref="I58" si="9">SUM(I49:I57)</f>
        <v>120.44555555555556</v>
      </c>
      <c r="J58" s="27">
        <f t="shared" ref="J58:L58" si="10">SUM(J49:J57)</f>
        <v>915.28777777777782</v>
      </c>
      <c r="K58" s="178"/>
      <c r="L58" s="27">
        <f t="shared" si="10"/>
        <v>147.82</v>
      </c>
    </row>
    <row r="59" spans="1:12" ht="15.75" customHeight="1" thickBot="1">
      <c r="A59" s="33">
        <f>A41</f>
        <v>1</v>
      </c>
      <c r="B59" s="34">
        <f>B41</f>
        <v>3</v>
      </c>
      <c r="C59" s="249" t="s">
        <v>40</v>
      </c>
      <c r="D59" s="250"/>
      <c r="E59" s="35"/>
      <c r="F59" s="44">
        <f>F48+F58</f>
        <v>1620</v>
      </c>
      <c r="G59" s="44">
        <f t="shared" ref="G59" si="11">G48+G58</f>
        <v>73.366888888888894</v>
      </c>
      <c r="H59" s="44">
        <f t="shared" ref="H59" si="12">H48+H58</f>
        <v>75.63877777777779</v>
      </c>
      <c r="I59" s="44">
        <f t="shared" ref="I59" si="13">I48+I58</f>
        <v>240.21655555555554</v>
      </c>
      <c r="J59" s="44">
        <f t="shared" ref="J59:L59" si="14">J48+J58</f>
        <v>1935.8757777777778</v>
      </c>
      <c r="K59" s="182"/>
      <c r="L59" s="44">
        <f t="shared" si="14"/>
        <v>295.64</v>
      </c>
    </row>
    <row r="60" spans="1:12" ht="15.75">
      <c r="A60" s="12">
        <v>1</v>
      </c>
      <c r="B60" s="13">
        <v>4</v>
      </c>
      <c r="C60" s="14" t="s">
        <v>22</v>
      </c>
      <c r="D60" s="167" t="s">
        <v>23</v>
      </c>
      <c r="E60" s="104" t="s">
        <v>110</v>
      </c>
      <c r="F60" s="103">
        <v>260</v>
      </c>
      <c r="G60" s="103">
        <f>F60*15.7/200</f>
        <v>20.41</v>
      </c>
      <c r="H60" s="103">
        <f>F60*15.7/200</f>
        <v>20.41</v>
      </c>
      <c r="I60" s="103">
        <f>F60*19.8/200</f>
        <v>25.74</v>
      </c>
      <c r="J60" s="103">
        <f>F60*283.3/200</f>
        <v>368.29</v>
      </c>
      <c r="K60" s="187">
        <v>44263</v>
      </c>
      <c r="L60" s="49">
        <v>104.19</v>
      </c>
    </row>
    <row r="61" spans="1:12" ht="15.75">
      <c r="A61" s="16"/>
      <c r="B61" s="17"/>
      <c r="C61" s="18"/>
      <c r="D61" s="168" t="s">
        <v>24</v>
      </c>
      <c r="E61" s="101" t="s">
        <v>111</v>
      </c>
      <c r="F61" s="103">
        <v>200</v>
      </c>
      <c r="G61" s="103">
        <v>0.1</v>
      </c>
      <c r="H61" s="103">
        <v>0</v>
      </c>
      <c r="I61" s="103">
        <v>9.9</v>
      </c>
      <c r="J61" s="103">
        <v>40</v>
      </c>
      <c r="K61" s="177" t="s">
        <v>112</v>
      </c>
      <c r="L61" s="50">
        <v>3.22</v>
      </c>
    </row>
    <row r="62" spans="1:12" ht="15.75">
      <c r="A62" s="16"/>
      <c r="B62" s="17"/>
      <c r="C62" s="18"/>
      <c r="D62" s="170" t="s">
        <v>37</v>
      </c>
      <c r="E62" s="21" t="s">
        <v>38</v>
      </c>
      <c r="F62" s="20">
        <v>56</v>
      </c>
      <c r="G62" s="20">
        <f>SUM(F62*2.37/30)</f>
        <v>4.4240000000000004</v>
      </c>
      <c r="H62" s="20">
        <f>SUM(F62*0.3/30)</f>
        <v>0.56000000000000005</v>
      </c>
      <c r="I62" s="20">
        <f>SUM(F62*14.49/30)</f>
        <v>27.048000000000002</v>
      </c>
      <c r="J62" s="20">
        <f>SUM(F62*70.14/30)</f>
        <v>130.928</v>
      </c>
      <c r="K62" s="181" t="s">
        <v>27</v>
      </c>
      <c r="L62" s="50">
        <v>7.17</v>
      </c>
    </row>
    <row r="63" spans="1:12" ht="15.75">
      <c r="A63" s="16"/>
      <c r="B63" s="17"/>
      <c r="C63" s="18"/>
      <c r="D63" s="170" t="s">
        <v>39</v>
      </c>
      <c r="E63" s="102" t="s">
        <v>157</v>
      </c>
      <c r="F63" s="20">
        <v>50</v>
      </c>
      <c r="G63" s="20">
        <f>SUM(F63*1.68/30)</f>
        <v>2.8</v>
      </c>
      <c r="H63" s="20">
        <f>SUM(F63*0.33/30)</f>
        <v>0.55000000000000004</v>
      </c>
      <c r="I63" s="20">
        <f>SUM(F63*14.82/30)</f>
        <v>24.7</v>
      </c>
      <c r="J63" s="20">
        <f>SUM(F63*68.97/30)</f>
        <v>114.95</v>
      </c>
      <c r="K63" s="181" t="s">
        <v>27</v>
      </c>
      <c r="L63" s="41">
        <v>5.89</v>
      </c>
    </row>
    <row r="64" spans="1:12" ht="31.5">
      <c r="A64" s="16"/>
      <c r="B64" s="17"/>
      <c r="C64" s="18"/>
      <c r="D64" s="168"/>
      <c r="E64" s="21" t="s">
        <v>153</v>
      </c>
      <c r="F64" s="20">
        <v>130</v>
      </c>
      <c r="G64" s="20">
        <v>1.56</v>
      </c>
      <c r="H64" s="20">
        <v>7.8</v>
      </c>
      <c r="I64" s="20">
        <v>21.06</v>
      </c>
      <c r="J64" s="20">
        <v>160.68</v>
      </c>
      <c r="K64" s="188">
        <v>21</v>
      </c>
      <c r="L64" s="41">
        <v>27.35</v>
      </c>
    </row>
    <row r="65" spans="1:16" ht="15.75">
      <c r="A65" s="16"/>
      <c r="B65" s="17"/>
      <c r="C65" s="18"/>
      <c r="D65" s="77"/>
      <c r="E65" s="39"/>
      <c r="F65" s="40"/>
      <c r="G65" s="40"/>
      <c r="H65" s="40"/>
      <c r="I65" s="40"/>
      <c r="J65" s="40"/>
      <c r="K65" s="181"/>
      <c r="L65" s="41"/>
      <c r="P65" s="172"/>
    </row>
    <row r="66" spans="1:16" ht="15.75">
      <c r="A66" s="16"/>
      <c r="B66" s="17"/>
      <c r="C66" s="18"/>
      <c r="D66" s="77"/>
      <c r="E66" s="161"/>
      <c r="F66" s="73"/>
      <c r="G66" s="73"/>
      <c r="H66" s="73"/>
      <c r="I66" s="73"/>
      <c r="J66" s="73"/>
      <c r="K66" s="181"/>
      <c r="L66" s="41"/>
    </row>
    <row r="67" spans="1:16" ht="15.75">
      <c r="A67" s="22"/>
      <c r="B67" s="23"/>
      <c r="C67" s="24"/>
      <c r="D67" s="169" t="s">
        <v>29</v>
      </c>
      <c r="E67" s="25"/>
      <c r="F67" s="27">
        <f>SUM(F60:F66)</f>
        <v>696</v>
      </c>
      <c r="G67" s="27">
        <f t="shared" ref="G67" si="15">SUM(G60:G66)</f>
        <v>29.294</v>
      </c>
      <c r="H67" s="27">
        <f t="shared" ref="H67" si="16">SUM(H60:H66)</f>
        <v>29.32</v>
      </c>
      <c r="I67" s="27">
        <f t="shared" ref="I67" si="17">SUM(I60:I66)</f>
        <v>108.44800000000001</v>
      </c>
      <c r="J67" s="27">
        <f t="shared" ref="J67:L67" si="18">SUM(J60:J66)</f>
        <v>814.84800000000018</v>
      </c>
      <c r="K67" s="178"/>
      <c r="L67" s="27">
        <f t="shared" si="18"/>
        <v>147.82</v>
      </c>
    </row>
    <row r="68" spans="1:16" ht="47.25">
      <c r="A68" s="28">
        <f>A60</f>
        <v>1</v>
      </c>
      <c r="B68" s="29">
        <f>B60</f>
        <v>4</v>
      </c>
      <c r="C68" s="30" t="s">
        <v>30</v>
      </c>
      <c r="D68" s="168" t="s">
        <v>31</v>
      </c>
      <c r="E68" s="105" t="s">
        <v>113</v>
      </c>
      <c r="F68" s="107">
        <v>150</v>
      </c>
      <c r="G68" s="107">
        <f>F68*1.02/60</f>
        <v>2.5499999999999998</v>
      </c>
      <c r="H68" s="107">
        <f>F68*3.6/60</f>
        <v>9</v>
      </c>
      <c r="I68" s="107">
        <f>F68*4.74/60</f>
        <v>11.85</v>
      </c>
      <c r="J68" s="107">
        <f>F68*55.44/60</f>
        <v>138.6</v>
      </c>
      <c r="K68" s="177" t="s">
        <v>114</v>
      </c>
      <c r="L68" s="41">
        <v>14.56</v>
      </c>
    </row>
    <row r="69" spans="1:16" ht="15.75">
      <c r="A69" s="16"/>
      <c r="B69" s="17"/>
      <c r="C69" s="18"/>
      <c r="D69" s="168" t="s">
        <v>32</v>
      </c>
      <c r="E69" s="45" t="s">
        <v>50</v>
      </c>
      <c r="F69" s="20">
        <v>250</v>
      </c>
      <c r="G69" s="20">
        <f>F69*7.76/200</f>
        <v>9.6999999999999993</v>
      </c>
      <c r="H69" s="20">
        <f>F69*3.84/200</f>
        <v>4.8</v>
      </c>
      <c r="I69" s="20">
        <f>F69*10.48/200</f>
        <v>13.1</v>
      </c>
      <c r="J69" s="20">
        <f>F69*107.52/200</f>
        <v>134.4</v>
      </c>
      <c r="K69" s="183" t="s">
        <v>51</v>
      </c>
      <c r="L69" s="41">
        <v>33</v>
      </c>
    </row>
    <row r="70" spans="1:16" ht="15.75">
      <c r="A70" s="16"/>
      <c r="B70" s="17"/>
      <c r="C70" s="18"/>
      <c r="D70" s="168" t="s">
        <v>33</v>
      </c>
      <c r="E70" s="38" t="s">
        <v>42</v>
      </c>
      <c r="F70" s="20">
        <v>100</v>
      </c>
      <c r="G70" s="20">
        <f>F70*13.32/90</f>
        <v>14.8</v>
      </c>
      <c r="H70" s="20">
        <f>F70*11.16/90</f>
        <v>12.4</v>
      </c>
      <c r="I70" s="20">
        <f>F70*8.19/90</f>
        <v>9.1</v>
      </c>
      <c r="J70" s="20">
        <f>F70*186.3/90</f>
        <v>207</v>
      </c>
      <c r="K70" s="181">
        <v>44325</v>
      </c>
      <c r="L70" s="41">
        <v>55.46</v>
      </c>
    </row>
    <row r="71" spans="1:16" ht="15.75">
      <c r="A71" s="16"/>
      <c r="B71" s="17"/>
      <c r="C71" s="18"/>
      <c r="D71" s="168" t="s">
        <v>34</v>
      </c>
      <c r="E71" s="46" t="s">
        <v>48</v>
      </c>
      <c r="F71" s="20">
        <v>200</v>
      </c>
      <c r="G71" s="20">
        <f>F71*6.63/150</f>
        <v>8.84</v>
      </c>
      <c r="H71" s="20">
        <f>F71*4.44/150</f>
        <v>5.9200000000000008</v>
      </c>
      <c r="I71" s="20">
        <f>F71*28.8/150</f>
        <v>38.4</v>
      </c>
      <c r="J71" s="20">
        <f>F71*181.5/150</f>
        <v>242</v>
      </c>
      <c r="K71" s="183" t="s">
        <v>69</v>
      </c>
      <c r="L71" s="41">
        <v>13.47</v>
      </c>
    </row>
    <row r="72" spans="1:16" ht="15.75">
      <c r="A72" s="16"/>
      <c r="B72" s="17"/>
      <c r="C72" s="18"/>
      <c r="D72" s="168" t="s">
        <v>96</v>
      </c>
      <c r="E72" s="19" t="s">
        <v>54</v>
      </c>
      <c r="F72" s="20">
        <v>200</v>
      </c>
      <c r="G72" s="20">
        <v>0.2</v>
      </c>
      <c r="H72" s="20">
        <v>0.2</v>
      </c>
      <c r="I72" s="20">
        <v>16.8</v>
      </c>
      <c r="J72" s="20">
        <v>70</v>
      </c>
      <c r="K72" s="183">
        <v>44296</v>
      </c>
      <c r="L72" s="41">
        <v>16.53</v>
      </c>
    </row>
    <row r="73" spans="1:16" ht="15.75">
      <c r="A73" s="16"/>
      <c r="B73" s="17"/>
      <c r="C73" s="18"/>
      <c r="D73" s="168" t="s">
        <v>37</v>
      </c>
      <c r="E73" s="21" t="s">
        <v>38</v>
      </c>
      <c r="F73" s="20">
        <v>60</v>
      </c>
      <c r="G73" s="20">
        <f>SUM(F73*2.37/30)</f>
        <v>4.74</v>
      </c>
      <c r="H73" s="20">
        <f>SUM(F73*0.3/30)</f>
        <v>0.6</v>
      </c>
      <c r="I73" s="20">
        <f>SUM(F73*14.49/30)</f>
        <v>28.98</v>
      </c>
      <c r="J73" s="20">
        <f>SUM(F73*70.14/30)</f>
        <v>140.28</v>
      </c>
      <c r="K73" s="181" t="s">
        <v>27</v>
      </c>
      <c r="L73" s="41">
        <v>7.7</v>
      </c>
    </row>
    <row r="74" spans="1:16" ht="15.75">
      <c r="A74" s="16"/>
      <c r="B74" s="17"/>
      <c r="C74" s="18"/>
      <c r="D74" s="168" t="s">
        <v>39</v>
      </c>
      <c r="E74" s="32" t="s">
        <v>157</v>
      </c>
      <c r="F74" s="20">
        <v>60</v>
      </c>
      <c r="G74" s="20">
        <f>SUM(F74*1.68/30)</f>
        <v>3.36</v>
      </c>
      <c r="H74" s="20">
        <f>SUM(F74*0.33/30)</f>
        <v>0.66</v>
      </c>
      <c r="I74" s="20">
        <f>SUM(F74*14.82/30)</f>
        <v>29.64</v>
      </c>
      <c r="J74" s="20">
        <f>SUM(F74*68.97/30)</f>
        <v>137.94</v>
      </c>
      <c r="K74" s="181" t="s">
        <v>27</v>
      </c>
      <c r="L74" s="41">
        <v>7.1</v>
      </c>
    </row>
    <row r="75" spans="1:16" ht="15.75">
      <c r="A75" s="16"/>
      <c r="B75" s="17"/>
      <c r="C75" s="18"/>
      <c r="D75" s="77"/>
      <c r="E75" s="161"/>
      <c r="F75" s="73"/>
      <c r="G75" s="73"/>
      <c r="H75" s="73"/>
      <c r="I75" s="73"/>
      <c r="J75" s="73"/>
      <c r="K75" s="181"/>
      <c r="L75" s="41"/>
    </row>
    <row r="76" spans="1:16" ht="15.75">
      <c r="A76" s="16"/>
      <c r="B76" s="17"/>
      <c r="C76" s="18"/>
      <c r="D76" s="77"/>
      <c r="E76" s="161"/>
      <c r="F76" s="73"/>
      <c r="G76" s="73"/>
      <c r="H76" s="73"/>
      <c r="I76" s="73"/>
      <c r="J76" s="73"/>
      <c r="K76" s="181"/>
      <c r="L76" s="41"/>
    </row>
    <row r="77" spans="1:16" ht="15.75">
      <c r="A77" s="22"/>
      <c r="B77" s="23"/>
      <c r="C77" s="24"/>
      <c r="D77" s="169" t="s">
        <v>29</v>
      </c>
      <c r="E77" s="25"/>
      <c r="F77" s="27">
        <f>SUM(F68:F76)</f>
        <v>1020</v>
      </c>
      <c r="G77" s="27">
        <f t="shared" ref="G77" si="19">SUM(G68:G76)</f>
        <v>44.190000000000005</v>
      </c>
      <c r="H77" s="27">
        <f t="shared" ref="H77" si="20">SUM(H68:H76)</f>
        <v>33.580000000000005</v>
      </c>
      <c r="I77" s="27">
        <f t="shared" ref="I77" si="21">SUM(I68:I76)</f>
        <v>147.87</v>
      </c>
      <c r="J77" s="27">
        <f t="shared" ref="J77:L77" si="22">SUM(J68:J76)</f>
        <v>1070.22</v>
      </c>
      <c r="K77" s="178"/>
      <c r="L77" s="27">
        <f t="shared" si="22"/>
        <v>147.82</v>
      </c>
    </row>
    <row r="78" spans="1:16" ht="15.75" customHeight="1">
      <c r="A78" s="33">
        <f>A60</f>
        <v>1</v>
      </c>
      <c r="B78" s="34">
        <f>B60</f>
        <v>4</v>
      </c>
      <c r="C78" s="249" t="s">
        <v>40</v>
      </c>
      <c r="D78" s="250"/>
      <c r="E78" s="35"/>
      <c r="F78" s="44">
        <f>F67+F77</f>
        <v>1716</v>
      </c>
      <c r="G78" s="44">
        <f t="shared" ref="G78" si="23">G67+G77</f>
        <v>73.484000000000009</v>
      </c>
      <c r="H78" s="44">
        <f t="shared" ref="H78" si="24">H67+H77</f>
        <v>62.900000000000006</v>
      </c>
      <c r="I78" s="44">
        <f t="shared" ref="I78" si="25">I67+I77</f>
        <v>256.31799999999998</v>
      </c>
      <c r="J78" s="44">
        <f t="shared" ref="J78:L78" si="26">J67+J77</f>
        <v>1885.0680000000002</v>
      </c>
      <c r="K78" s="182"/>
      <c r="L78" s="44">
        <f t="shared" si="26"/>
        <v>295.64</v>
      </c>
    </row>
    <row r="79" spans="1:16" ht="16.5" thickBot="1">
      <c r="A79" s="12">
        <v>1</v>
      </c>
      <c r="B79" s="13">
        <v>5</v>
      </c>
      <c r="C79" s="14" t="s">
        <v>22</v>
      </c>
      <c r="D79" s="167"/>
      <c r="E79" s="45"/>
      <c r="F79" s="20"/>
      <c r="G79" s="20"/>
      <c r="H79" s="20"/>
      <c r="I79" s="20"/>
      <c r="J79" s="20"/>
      <c r="K79" s="189"/>
      <c r="L79" s="48"/>
    </row>
    <row r="80" spans="1:16" ht="15.75">
      <c r="A80" s="16"/>
      <c r="B80" s="17"/>
      <c r="C80" s="18"/>
      <c r="D80" s="171" t="s">
        <v>23</v>
      </c>
      <c r="E80" s="111" t="s">
        <v>115</v>
      </c>
      <c r="F80" s="109">
        <v>240</v>
      </c>
      <c r="G80" s="109">
        <f>F80*19.5/200</f>
        <v>23.4</v>
      </c>
      <c r="H80" s="109">
        <f>F80*21.2/200</f>
        <v>25.44</v>
      </c>
      <c r="I80" s="109">
        <f>F80*17.7/200</f>
        <v>21.24</v>
      </c>
      <c r="J80" s="109">
        <f>F80*339.6/200</f>
        <v>407.52</v>
      </c>
      <c r="K80" s="183" t="s">
        <v>117</v>
      </c>
      <c r="L80" s="41">
        <v>70.239999999999995</v>
      </c>
    </row>
    <row r="81" spans="1:12" ht="15.75">
      <c r="A81" s="16"/>
      <c r="B81" s="17"/>
      <c r="C81" s="18"/>
      <c r="D81" s="168" t="s">
        <v>24</v>
      </c>
      <c r="E81" s="110" t="s">
        <v>116</v>
      </c>
      <c r="F81" s="106">
        <v>200</v>
      </c>
      <c r="G81" s="109">
        <v>0.1</v>
      </c>
      <c r="H81" s="109">
        <v>0</v>
      </c>
      <c r="I81" s="109">
        <v>9.8000000000000007</v>
      </c>
      <c r="J81" s="109">
        <v>39</v>
      </c>
      <c r="K81" s="183" t="s">
        <v>118</v>
      </c>
      <c r="L81" s="41">
        <v>3.22</v>
      </c>
    </row>
    <row r="82" spans="1:12" ht="15.75">
      <c r="A82" s="16"/>
      <c r="B82" s="17"/>
      <c r="C82" s="18"/>
      <c r="D82" s="170" t="s">
        <v>26</v>
      </c>
      <c r="E82" s="108" t="s">
        <v>28</v>
      </c>
      <c r="F82" s="15">
        <v>70</v>
      </c>
      <c r="G82" s="15">
        <f>F82*6.1/50</f>
        <v>8.5399999999999991</v>
      </c>
      <c r="H82" s="15">
        <f>F82*3.7/50</f>
        <v>5.18</v>
      </c>
      <c r="I82" s="15">
        <f>F82*17.5/50</f>
        <v>24.5</v>
      </c>
      <c r="J82" s="15">
        <f>F82*127.7/50</f>
        <v>178.78</v>
      </c>
      <c r="K82" s="183">
        <v>44240</v>
      </c>
      <c r="L82" s="41">
        <v>44.75</v>
      </c>
    </row>
    <row r="83" spans="1:12" ht="15.75">
      <c r="A83" s="16"/>
      <c r="B83" s="17"/>
      <c r="C83" s="18"/>
      <c r="D83" s="168" t="s">
        <v>39</v>
      </c>
      <c r="E83" s="32" t="s">
        <v>157</v>
      </c>
      <c r="F83" s="40">
        <v>60</v>
      </c>
      <c r="G83" s="40">
        <f>SUM(F83*1.68/30)</f>
        <v>3.36</v>
      </c>
      <c r="H83" s="40">
        <f>SUM(F83*0.33/30)</f>
        <v>0.66</v>
      </c>
      <c r="I83" s="40">
        <f>SUM(F83*14.82/30)</f>
        <v>29.64</v>
      </c>
      <c r="J83" s="40">
        <f>SUM(F83*68.97/30)</f>
        <v>137.94</v>
      </c>
      <c r="K83" s="181" t="s">
        <v>27</v>
      </c>
      <c r="L83" s="41">
        <v>7.1</v>
      </c>
    </row>
    <row r="84" spans="1:12" ht="31.5">
      <c r="A84" s="16"/>
      <c r="B84" s="17"/>
      <c r="C84" s="18"/>
      <c r="D84" s="168"/>
      <c r="E84" s="58" t="s">
        <v>154</v>
      </c>
      <c r="F84" s="40">
        <v>107</v>
      </c>
      <c r="G84" s="40">
        <v>1.28</v>
      </c>
      <c r="H84" s="40">
        <v>6.42</v>
      </c>
      <c r="I84" s="40">
        <v>17.329999999999998</v>
      </c>
      <c r="J84" s="40">
        <v>124</v>
      </c>
      <c r="K84" s="181">
        <v>21</v>
      </c>
      <c r="L84" s="41">
        <v>22.51</v>
      </c>
    </row>
    <row r="85" spans="1:12" ht="15.75">
      <c r="A85" s="203"/>
      <c r="B85" s="204"/>
      <c r="C85" s="205"/>
      <c r="D85" s="206" t="s">
        <v>29</v>
      </c>
      <c r="E85" s="207"/>
      <c r="F85" s="208">
        <f>SUM(F79:F84)</f>
        <v>677</v>
      </c>
      <c r="G85" s="208">
        <f>G80+G81+G82+G83+G84</f>
        <v>36.68</v>
      </c>
      <c r="H85" s="208">
        <f>SUM(H79:H83)</f>
        <v>31.28</v>
      </c>
      <c r="I85" s="208">
        <f>SUM(I79:I83)</f>
        <v>85.18</v>
      </c>
      <c r="J85" s="208">
        <f>SUM(J79:J83)</f>
        <v>763.24</v>
      </c>
      <c r="K85" s="209"/>
      <c r="L85" s="208">
        <f>SUM(L79:L84)</f>
        <v>147.82</v>
      </c>
    </row>
    <row r="86" spans="1:12" ht="31.5">
      <c r="A86" s="28">
        <f>A79</f>
        <v>1</v>
      </c>
      <c r="B86" s="29">
        <f>B79</f>
        <v>5</v>
      </c>
      <c r="C86" s="30" t="s">
        <v>30</v>
      </c>
      <c r="D86" s="168" t="s">
        <v>31</v>
      </c>
      <c r="E86" s="112" t="s">
        <v>119</v>
      </c>
      <c r="F86" s="109">
        <v>100</v>
      </c>
      <c r="G86" s="109">
        <f>F86*0.72/60</f>
        <v>1.2</v>
      </c>
      <c r="H86" s="109">
        <f>F86*3.6/60</f>
        <v>6</v>
      </c>
      <c r="I86" s="109">
        <f>F86*7.48/60</f>
        <v>12.466666666666667</v>
      </c>
      <c r="J86" s="109">
        <f>F86*65.21/60</f>
        <v>108.68333333333332</v>
      </c>
      <c r="K86" s="177" t="s">
        <v>122</v>
      </c>
      <c r="L86" s="41">
        <v>15.75</v>
      </c>
    </row>
    <row r="87" spans="1:12" ht="31.5">
      <c r="A87" s="16"/>
      <c r="B87" s="17"/>
      <c r="C87" s="18"/>
      <c r="D87" s="168" t="s">
        <v>32</v>
      </c>
      <c r="E87" s="115" t="s">
        <v>120</v>
      </c>
      <c r="F87" s="109">
        <v>250</v>
      </c>
      <c r="G87" s="109">
        <f>F87*6.6/250</f>
        <v>6.6</v>
      </c>
      <c r="H87" s="109">
        <f>F87*8.6/250</f>
        <v>8.6</v>
      </c>
      <c r="I87" s="109">
        <f>F87*28.83/250</f>
        <v>28.83</v>
      </c>
      <c r="J87" s="109">
        <f>F87*219.12/250</f>
        <v>219.12</v>
      </c>
      <c r="K87" s="177" t="s">
        <v>123</v>
      </c>
      <c r="L87" s="41">
        <v>13.32</v>
      </c>
    </row>
    <row r="88" spans="1:12" ht="15.75">
      <c r="A88" s="16"/>
      <c r="B88" s="17"/>
      <c r="C88" s="18"/>
      <c r="D88" s="168" t="s">
        <v>33</v>
      </c>
      <c r="E88" s="114" t="s">
        <v>121</v>
      </c>
      <c r="F88" s="15">
        <v>100</v>
      </c>
      <c r="G88" s="20">
        <f>F88*11.68/90</f>
        <v>12.977777777777778</v>
      </c>
      <c r="H88" s="20">
        <f>F88*11.61/90</f>
        <v>12.9</v>
      </c>
      <c r="I88" s="20">
        <f>F88*5.76/90</f>
        <v>6.4</v>
      </c>
      <c r="J88" s="20">
        <f>F88*175/90</f>
        <v>194.44444444444446</v>
      </c>
      <c r="K88" s="177" t="s">
        <v>124</v>
      </c>
      <c r="L88" s="41">
        <v>74.239999999999995</v>
      </c>
    </row>
    <row r="89" spans="1:12" ht="15.75">
      <c r="A89" s="16"/>
      <c r="B89" s="17"/>
      <c r="C89" s="18"/>
      <c r="D89" s="168" t="s">
        <v>34</v>
      </c>
      <c r="E89" s="116" t="s">
        <v>56</v>
      </c>
      <c r="F89" s="20">
        <v>180</v>
      </c>
      <c r="G89" s="20">
        <f>F89*3.17/150</f>
        <v>3.8040000000000003</v>
      </c>
      <c r="H89" s="20">
        <f>F89*3.67/150</f>
        <v>4.4039999999999999</v>
      </c>
      <c r="I89" s="20">
        <f>F89*20.4/150</f>
        <v>24.479999999999997</v>
      </c>
      <c r="J89" s="40">
        <f>F89*127.5/150</f>
        <v>153</v>
      </c>
      <c r="K89" s="177">
        <v>44258</v>
      </c>
      <c r="L89" s="41">
        <v>24.24</v>
      </c>
    </row>
    <row r="90" spans="1:12" ht="15.75">
      <c r="A90" s="16"/>
      <c r="B90" s="17"/>
      <c r="C90" s="18"/>
      <c r="D90" s="168" t="s">
        <v>96</v>
      </c>
      <c r="E90" s="115" t="s">
        <v>60</v>
      </c>
      <c r="F90" s="109">
        <v>200</v>
      </c>
      <c r="G90" s="109">
        <v>0.2</v>
      </c>
      <c r="H90" s="109">
        <v>0.1</v>
      </c>
      <c r="I90" s="109">
        <v>13.1</v>
      </c>
      <c r="J90" s="109">
        <v>54.1</v>
      </c>
      <c r="K90" s="181" t="s">
        <v>61</v>
      </c>
      <c r="L90" s="41">
        <v>7.79</v>
      </c>
    </row>
    <row r="91" spans="1:12" ht="15.75">
      <c r="A91" s="16"/>
      <c r="B91" s="17"/>
      <c r="C91" s="18"/>
      <c r="D91" s="168" t="s">
        <v>37</v>
      </c>
      <c r="E91" s="21" t="s">
        <v>38</v>
      </c>
      <c r="F91" s="20">
        <v>50</v>
      </c>
      <c r="G91" s="20">
        <f>SUM(F91*2.37/30)</f>
        <v>3.95</v>
      </c>
      <c r="H91" s="20">
        <f>SUM(F91*0.3/30)</f>
        <v>0.5</v>
      </c>
      <c r="I91" s="20">
        <f>SUM(F91*14.49/30)</f>
        <v>24.15</v>
      </c>
      <c r="J91" s="20">
        <f>SUM(F91*70.14/30)</f>
        <v>116.9</v>
      </c>
      <c r="K91" s="181" t="s">
        <v>27</v>
      </c>
      <c r="L91" s="41">
        <v>6.56</v>
      </c>
    </row>
    <row r="92" spans="1:12" ht="15.75">
      <c r="A92" s="16"/>
      <c r="B92" s="17"/>
      <c r="C92" s="18"/>
      <c r="D92" s="168" t="s">
        <v>39</v>
      </c>
      <c r="E92" s="113" t="s">
        <v>157</v>
      </c>
      <c r="F92" s="40">
        <v>30</v>
      </c>
      <c r="G92" s="40">
        <f>SUM(F92*1.68/30)</f>
        <v>1.68</v>
      </c>
      <c r="H92" s="40">
        <f>SUM(F92*0.33/30)</f>
        <v>0.33</v>
      </c>
      <c r="I92" s="40">
        <f>SUM(F92*14.82/30)</f>
        <v>14.82</v>
      </c>
      <c r="J92" s="40">
        <f>SUM(F92*68.97/30)</f>
        <v>68.97</v>
      </c>
      <c r="K92" s="181" t="s">
        <v>27</v>
      </c>
      <c r="L92" s="41">
        <v>5.92</v>
      </c>
    </row>
    <row r="93" spans="1:12" ht="15.75">
      <c r="A93" s="16"/>
      <c r="B93" s="17"/>
      <c r="C93" s="18"/>
      <c r="D93" s="77"/>
      <c r="E93" s="161"/>
      <c r="F93" s="73"/>
      <c r="G93" s="73"/>
      <c r="H93" s="73"/>
      <c r="I93" s="73"/>
      <c r="J93" s="73"/>
      <c r="K93" s="181"/>
      <c r="L93" s="41"/>
    </row>
    <row r="94" spans="1:12" ht="15.75">
      <c r="A94" s="16"/>
      <c r="B94" s="17"/>
      <c r="C94" s="18"/>
      <c r="D94" s="77"/>
      <c r="E94" s="161"/>
      <c r="F94" s="73"/>
      <c r="G94" s="73"/>
      <c r="H94" s="73"/>
      <c r="I94" s="73"/>
      <c r="J94" s="73"/>
      <c r="K94" s="181"/>
      <c r="L94" s="41"/>
    </row>
    <row r="95" spans="1:12" ht="15.75">
      <c r="A95" s="203"/>
      <c r="B95" s="204"/>
      <c r="C95" s="205"/>
      <c r="D95" s="206" t="s">
        <v>29</v>
      </c>
      <c r="E95" s="207"/>
      <c r="F95" s="208">
        <f>SUM(F86:F94)</f>
        <v>910</v>
      </c>
      <c r="G95" s="208">
        <f t="shared" ref="G95" si="27">SUM(G86:G94)</f>
        <v>30.411777777777779</v>
      </c>
      <c r="H95" s="208">
        <f t="shared" ref="H95" si="28">SUM(H86:H94)</f>
        <v>32.833999999999996</v>
      </c>
      <c r="I95" s="208">
        <f t="shared" ref="I95" si="29">SUM(I86:I94)</f>
        <v>124.24666666666664</v>
      </c>
      <c r="J95" s="208">
        <f t="shared" ref="J95:L95" si="30">SUM(J86:J94)</f>
        <v>915.21777777777788</v>
      </c>
      <c r="K95" s="209"/>
      <c r="L95" s="210">
        <f t="shared" si="30"/>
        <v>147.82</v>
      </c>
    </row>
    <row r="96" spans="1:12" ht="15.75" customHeight="1" thickBot="1">
      <c r="A96" s="211">
        <f>A79</f>
        <v>1</v>
      </c>
      <c r="B96" s="212">
        <f>B79</f>
        <v>5</v>
      </c>
      <c r="C96" s="256" t="s">
        <v>40</v>
      </c>
      <c r="D96" s="257"/>
      <c r="E96" s="213"/>
      <c r="F96" s="214">
        <f>F85+F95</f>
        <v>1587</v>
      </c>
      <c r="G96" s="214">
        <f t="shared" ref="G96" si="31">G85+G95</f>
        <v>67.091777777777779</v>
      </c>
      <c r="H96" s="214">
        <f t="shared" ref="H96" si="32">H85+H95</f>
        <v>64.114000000000004</v>
      </c>
      <c r="I96" s="214">
        <f t="shared" ref="I96" si="33">I85+I95</f>
        <v>209.42666666666665</v>
      </c>
      <c r="J96" s="214">
        <f t="shared" ref="J96:L96" si="34">J85+J95</f>
        <v>1678.4577777777779</v>
      </c>
      <c r="K96" s="215"/>
      <c r="L96" s="216">
        <f t="shared" si="34"/>
        <v>295.64</v>
      </c>
    </row>
    <row r="97" spans="1:15" ht="31.5">
      <c r="A97" s="12">
        <v>2</v>
      </c>
      <c r="B97" s="13">
        <v>1</v>
      </c>
      <c r="C97" s="14" t="s">
        <v>22</v>
      </c>
      <c r="D97" s="167" t="s">
        <v>23</v>
      </c>
      <c r="E97" s="117" t="s">
        <v>125</v>
      </c>
      <c r="F97" s="120">
        <v>250</v>
      </c>
      <c r="G97" s="120">
        <f>F97*5.5/200</f>
        <v>6.875</v>
      </c>
      <c r="H97" s="120">
        <f>F97*9.9/200</f>
        <v>12.375</v>
      </c>
      <c r="I97" s="120">
        <f>F97*39.26/200</f>
        <v>49.075000000000003</v>
      </c>
      <c r="J97" s="120">
        <f>F97*268/200</f>
        <v>335</v>
      </c>
      <c r="K97" s="176">
        <v>44443</v>
      </c>
      <c r="L97" s="48">
        <v>43.47</v>
      </c>
    </row>
    <row r="98" spans="1:15" ht="15.75">
      <c r="A98" s="16"/>
      <c r="B98" s="17"/>
      <c r="C98" s="18"/>
      <c r="D98" s="168" t="s">
        <v>24</v>
      </c>
      <c r="E98" s="119" t="s">
        <v>25</v>
      </c>
      <c r="F98" s="120">
        <v>200</v>
      </c>
      <c r="G98" s="120">
        <v>3.1</v>
      </c>
      <c r="H98" s="120">
        <v>3.2</v>
      </c>
      <c r="I98" s="120">
        <v>14.4</v>
      </c>
      <c r="J98" s="120">
        <v>99</v>
      </c>
      <c r="K98" s="181" t="s">
        <v>63</v>
      </c>
      <c r="L98" s="41">
        <v>15.62</v>
      </c>
    </row>
    <row r="99" spans="1:15" ht="15.75">
      <c r="A99" s="16"/>
      <c r="B99" s="17"/>
      <c r="C99" s="18"/>
      <c r="D99" s="77" t="s">
        <v>26</v>
      </c>
      <c r="E99" s="118" t="s">
        <v>28</v>
      </c>
      <c r="F99" s="15">
        <v>70</v>
      </c>
      <c r="G99" s="15">
        <f>F99*6.1/50</f>
        <v>8.5399999999999991</v>
      </c>
      <c r="H99" s="15">
        <f>F99*3.7/50</f>
        <v>5.18</v>
      </c>
      <c r="I99" s="15">
        <f>F99*17.5/50</f>
        <v>24.5</v>
      </c>
      <c r="J99" s="15">
        <f>F99*127.7/50</f>
        <v>178.78</v>
      </c>
      <c r="K99" s="183">
        <v>44240</v>
      </c>
      <c r="L99" s="217">
        <v>44.75</v>
      </c>
    </row>
    <row r="100" spans="1:15" ht="15.75">
      <c r="A100" s="16"/>
      <c r="B100" s="17"/>
      <c r="C100" s="18"/>
      <c r="D100" s="168" t="s">
        <v>39</v>
      </c>
      <c r="E100" s="119" t="s">
        <v>157</v>
      </c>
      <c r="F100" s="40">
        <v>50</v>
      </c>
      <c r="G100" s="40">
        <f>SUM(F100*1.68/30)</f>
        <v>2.8</v>
      </c>
      <c r="H100" s="40">
        <f>SUM(F100*0.33/30)</f>
        <v>0.55000000000000004</v>
      </c>
      <c r="I100" s="40">
        <f>SUM(F100*14.82/30)</f>
        <v>24.7</v>
      </c>
      <c r="J100" s="40">
        <f>SUM(F100*68.97/30)</f>
        <v>114.95</v>
      </c>
      <c r="K100" s="181" t="s">
        <v>27</v>
      </c>
      <c r="L100" s="217">
        <v>5.93</v>
      </c>
    </row>
    <row r="101" spans="1:15" ht="15.75">
      <c r="A101" s="16"/>
      <c r="B101" s="17"/>
      <c r="C101" s="18"/>
      <c r="D101" s="77" t="s">
        <v>64</v>
      </c>
      <c r="E101" s="117" t="s">
        <v>82</v>
      </c>
      <c r="F101" s="20">
        <v>175</v>
      </c>
      <c r="G101" s="20">
        <f>F101*0.4/100</f>
        <v>0.7</v>
      </c>
      <c r="H101" s="20">
        <f>F101*0.4/100</f>
        <v>0.7</v>
      </c>
      <c r="I101" s="20">
        <f>F101*10.95/100</f>
        <v>19.162499999999998</v>
      </c>
      <c r="J101" s="20">
        <f>F101*49/100</f>
        <v>85.75</v>
      </c>
      <c r="K101" s="177" t="s">
        <v>27</v>
      </c>
      <c r="L101" s="217">
        <v>38.049999999999997</v>
      </c>
    </row>
    <row r="102" spans="1:15" ht="15.75">
      <c r="A102" s="16"/>
      <c r="B102" s="17"/>
      <c r="C102" s="18"/>
      <c r="D102" s="77"/>
      <c r="E102" s="161"/>
      <c r="F102" s="73"/>
      <c r="G102" s="73"/>
      <c r="H102" s="73"/>
      <c r="I102" s="73"/>
      <c r="J102" s="73"/>
      <c r="K102" s="181"/>
      <c r="L102" s="217"/>
    </row>
    <row r="103" spans="1:15" ht="15.75">
      <c r="A103" s="203"/>
      <c r="B103" s="204"/>
      <c r="C103" s="205"/>
      <c r="D103" s="206" t="s">
        <v>29</v>
      </c>
      <c r="E103" s="207"/>
      <c r="F103" s="208">
        <f>SUM(F97:F102)</f>
        <v>745</v>
      </c>
      <c r="G103" s="208">
        <f>SUM(G97:G102)</f>
        <v>22.015000000000001</v>
      </c>
      <c r="H103" s="208">
        <f>SUM(H97:H102)</f>
        <v>22.004999999999999</v>
      </c>
      <c r="I103" s="208">
        <f>SUM(I97:I102)+0.01</f>
        <v>131.8475</v>
      </c>
      <c r="J103" s="208">
        <f>SUM(J97:J102)</f>
        <v>813.48</v>
      </c>
      <c r="K103" s="209"/>
      <c r="L103" s="208">
        <f>SUM(L97:L102)</f>
        <v>147.82</v>
      </c>
    </row>
    <row r="104" spans="1:15" ht="31.5">
      <c r="A104" s="28">
        <f>A97</f>
        <v>2</v>
      </c>
      <c r="B104" s="29">
        <f>B97</f>
        <v>1</v>
      </c>
      <c r="C104" s="30" t="s">
        <v>30</v>
      </c>
      <c r="D104" s="168" t="s">
        <v>31</v>
      </c>
      <c r="E104" s="57" t="s">
        <v>92</v>
      </c>
      <c r="F104" s="20">
        <v>105</v>
      </c>
      <c r="G104" s="20">
        <f>F104*1.5/60</f>
        <v>2.625</v>
      </c>
      <c r="H104" s="20">
        <f>F104*6/60</f>
        <v>10.5</v>
      </c>
      <c r="I104" s="20">
        <f>F104*4.25/60</f>
        <v>7.4375</v>
      </c>
      <c r="J104" s="20">
        <f>F104*77/60</f>
        <v>134.75</v>
      </c>
      <c r="K104" s="183">
        <v>44409</v>
      </c>
      <c r="L104" s="218">
        <v>18.05</v>
      </c>
    </row>
    <row r="105" spans="1:15" ht="15.75">
      <c r="A105" s="16"/>
      <c r="B105" s="17"/>
      <c r="C105" s="18"/>
      <c r="D105" s="168" t="s">
        <v>32</v>
      </c>
      <c r="E105" s="57" t="s">
        <v>89</v>
      </c>
      <c r="F105" s="20">
        <v>250</v>
      </c>
      <c r="G105" s="20">
        <f>F105*2.56/200</f>
        <v>3.2</v>
      </c>
      <c r="H105" s="20">
        <f>F105*2.96/200</f>
        <v>3.7</v>
      </c>
      <c r="I105" s="20">
        <f>F105*17.44/200</f>
        <v>21.8</v>
      </c>
      <c r="J105" s="20">
        <f>F105*106.4/200</f>
        <v>133</v>
      </c>
      <c r="K105" s="183" t="s">
        <v>90</v>
      </c>
      <c r="L105" s="218">
        <v>34.270000000000003</v>
      </c>
    </row>
    <row r="106" spans="1:15" ht="15.75">
      <c r="A106" s="16"/>
      <c r="B106" s="17"/>
      <c r="C106" s="18"/>
      <c r="D106" s="168" t="s">
        <v>33</v>
      </c>
      <c r="E106" s="38" t="s">
        <v>42</v>
      </c>
      <c r="F106" s="20">
        <v>110</v>
      </c>
      <c r="G106" s="20">
        <f>F106*13.32/90</f>
        <v>16.28</v>
      </c>
      <c r="H106" s="20">
        <f>F106*11.16/90</f>
        <v>13.639999999999999</v>
      </c>
      <c r="I106" s="20">
        <f>F106*8.19/90</f>
        <v>10.01</v>
      </c>
      <c r="J106" s="20">
        <f>F106*186.3/90</f>
        <v>227.7</v>
      </c>
      <c r="K106" s="181">
        <v>44325</v>
      </c>
      <c r="L106" s="218">
        <v>61.01</v>
      </c>
    </row>
    <row r="107" spans="1:15" ht="15.75">
      <c r="A107" s="16"/>
      <c r="B107" s="17"/>
      <c r="C107" s="18"/>
      <c r="D107" s="168" t="s">
        <v>34</v>
      </c>
      <c r="E107" s="46" t="s">
        <v>48</v>
      </c>
      <c r="F107" s="20">
        <v>180</v>
      </c>
      <c r="G107" s="20">
        <f>F107*6.63/150</f>
        <v>7.9560000000000004</v>
      </c>
      <c r="H107" s="20">
        <f>F107*4.44/150</f>
        <v>5.3280000000000003</v>
      </c>
      <c r="I107" s="20">
        <f>F107*28.8/150</f>
        <v>34.56</v>
      </c>
      <c r="J107" s="20">
        <f>F107*181.5/150</f>
        <v>217.8</v>
      </c>
      <c r="K107" s="183" t="s">
        <v>69</v>
      </c>
      <c r="L107" s="218">
        <v>12.13</v>
      </c>
      <c r="O107" s="219"/>
    </row>
    <row r="108" spans="1:15" ht="15.75">
      <c r="A108" s="16"/>
      <c r="B108" s="17"/>
      <c r="C108" s="18"/>
      <c r="D108" s="168" t="s">
        <v>96</v>
      </c>
      <c r="E108" s="121" t="s">
        <v>126</v>
      </c>
      <c r="F108" s="122">
        <v>200</v>
      </c>
      <c r="G108" s="122">
        <v>1</v>
      </c>
      <c r="H108" s="122">
        <v>0</v>
      </c>
      <c r="I108" s="122">
        <v>27.4</v>
      </c>
      <c r="J108" s="122">
        <v>113.6</v>
      </c>
      <c r="K108" s="183" t="s">
        <v>127</v>
      </c>
      <c r="L108" s="218">
        <v>12.51</v>
      </c>
    </row>
    <row r="109" spans="1:15" ht="15.75">
      <c r="A109" s="16"/>
      <c r="B109" s="17"/>
      <c r="C109" s="18"/>
      <c r="D109" s="170" t="s">
        <v>88</v>
      </c>
      <c r="E109" s="58" t="s">
        <v>81</v>
      </c>
      <c r="F109" s="20">
        <v>41</v>
      </c>
      <c r="G109" s="20">
        <f>F109*1.7/20</f>
        <v>3.4850000000000003</v>
      </c>
      <c r="H109" s="20">
        <f>F109*0.2/20</f>
        <v>0.41000000000000003</v>
      </c>
      <c r="I109" s="20">
        <f>F109*10.7/20</f>
        <v>21.934999999999999</v>
      </c>
      <c r="J109" s="20">
        <f>F109*51.4/20</f>
        <v>105.37</v>
      </c>
      <c r="K109" s="183" t="s">
        <v>91</v>
      </c>
      <c r="L109" s="218">
        <v>6.3</v>
      </c>
    </row>
    <row r="110" spans="1:15" ht="15.75">
      <c r="A110" s="16"/>
      <c r="B110" s="17"/>
      <c r="C110" s="18"/>
      <c r="D110" s="168" t="s">
        <v>39</v>
      </c>
      <c r="E110" s="32" t="s">
        <v>157</v>
      </c>
      <c r="F110" s="40">
        <v>50</v>
      </c>
      <c r="G110" s="40">
        <f>SUM(F110*1.68/30)</f>
        <v>2.8</v>
      </c>
      <c r="H110" s="40">
        <f>SUM(F110*0.33/30)</f>
        <v>0.55000000000000004</v>
      </c>
      <c r="I110" s="40">
        <f>SUM(F110*14.82/30)</f>
        <v>24.7</v>
      </c>
      <c r="J110" s="40">
        <f>SUM(F110*68.97/30)</f>
        <v>114.95</v>
      </c>
      <c r="K110" s="190" t="s">
        <v>41</v>
      </c>
      <c r="L110" s="218">
        <v>3.55</v>
      </c>
    </row>
    <row r="111" spans="1:15" ht="15.75">
      <c r="A111" s="16"/>
      <c r="B111" s="17"/>
      <c r="C111" s="18"/>
      <c r="D111" s="77"/>
      <c r="E111" s="46"/>
      <c r="F111" s="40"/>
      <c r="G111" s="40"/>
      <c r="H111" s="40"/>
      <c r="I111" s="40"/>
      <c r="J111" s="40"/>
      <c r="K111" s="191"/>
      <c r="L111" s="218"/>
    </row>
    <row r="112" spans="1:15" ht="15.75">
      <c r="A112" s="16"/>
      <c r="B112" s="17"/>
      <c r="C112" s="18"/>
      <c r="D112" s="77"/>
      <c r="E112" s="161"/>
      <c r="F112" s="73"/>
      <c r="G112" s="73"/>
      <c r="H112" s="73"/>
      <c r="I112" s="73"/>
      <c r="J112" s="73"/>
      <c r="K112" s="181"/>
      <c r="L112" s="217"/>
    </row>
    <row r="113" spans="1:16" ht="15.75">
      <c r="A113" s="203"/>
      <c r="B113" s="204"/>
      <c r="C113" s="205"/>
      <c r="D113" s="206" t="s">
        <v>29</v>
      </c>
      <c r="E113" s="207"/>
      <c r="F113" s="208">
        <f>F104+F105+F106+F107+F108+F109+F110</f>
        <v>936</v>
      </c>
      <c r="G113" s="208">
        <f t="shared" ref="G113:J113" si="35">G104+G105+G106+G107+G108+G109+G110</f>
        <v>37.345999999999997</v>
      </c>
      <c r="H113" s="208">
        <f t="shared" si="35"/>
        <v>34.127999999999993</v>
      </c>
      <c r="I113" s="208">
        <f t="shared" si="35"/>
        <v>147.8425</v>
      </c>
      <c r="J113" s="208">
        <f t="shared" si="35"/>
        <v>1047.17</v>
      </c>
      <c r="K113" s="209"/>
      <c r="L113" s="208">
        <f t="shared" ref="L113" si="36">SUM(L104:L112)</f>
        <v>147.82000000000002</v>
      </c>
    </row>
    <row r="114" spans="1:16" ht="15.75">
      <c r="A114" s="211">
        <f>A97</f>
        <v>2</v>
      </c>
      <c r="B114" s="212">
        <f>B97</f>
        <v>1</v>
      </c>
      <c r="C114" s="256" t="s">
        <v>40</v>
      </c>
      <c r="D114" s="257"/>
      <c r="E114" s="213"/>
      <c r="F114" s="214">
        <f>F103+F113</f>
        <v>1681</v>
      </c>
      <c r="G114" s="214">
        <f t="shared" ref="G114" si="37">G103+G113</f>
        <v>59.360999999999997</v>
      </c>
      <c r="H114" s="214">
        <f t="shared" ref="H114" si="38">H103+H113</f>
        <v>56.132999999999996</v>
      </c>
      <c r="I114" s="214">
        <f t="shared" ref="I114" si="39">I103+I113</f>
        <v>279.69</v>
      </c>
      <c r="J114" s="214">
        <f t="shared" ref="J114:L114" si="40">J103+J113</f>
        <v>1860.65</v>
      </c>
      <c r="K114" s="215"/>
      <c r="L114" s="214">
        <f t="shared" si="40"/>
        <v>295.64</v>
      </c>
    </row>
    <row r="115" spans="1:16" ht="31.5">
      <c r="A115" s="37">
        <v>2</v>
      </c>
      <c r="B115" s="17">
        <v>2</v>
      </c>
      <c r="C115" s="14" t="s">
        <v>22</v>
      </c>
      <c r="D115" s="167" t="s">
        <v>23</v>
      </c>
      <c r="E115" s="56" t="s">
        <v>99</v>
      </c>
      <c r="F115" s="20">
        <v>255</v>
      </c>
      <c r="G115" s="20">
        <f>F115*30.42/180</f>
        <v>43.094999999999999</v>
      </c>
      <c r="H115" s="20">
        <f>F115*17.28/180</f>
        <v>24.480000000000004</v>
      </c>
      <c r="I115" s="20">
        <f>F115*23.76/180</f>
        <v>33.660000000000004</v>
      </c>
      <c r="J115" s="20">
        <f>F115*372.6/180</f>
        <v>527.85</v>
      </c>
      <c r="K115" s="187">
        <v>4443</v>
      </c>
      <c r="L115" s="48">
        <v>108.29</v>
      </c>
      <c r="P115" s="1">
        <v>23.76</v>
      </c>
    </row>
    <row r="116" spans="1:16" ht="15.75">
      <c r="A116" s="37"/>
      <c r="B116" s="17"/>
      <c r="C116" s="18"/>
      <c r="D116" s="168" t="s">
        <v>24</v>
      </c>
      <c r="E116" s="38" t="s">
        <v>66</v>
      </c>
      <c r="F116" s="51">
        <v>200</v>
      </c>
      <c r="G116" s="20">
        <v>0.2</v>
      </c>
      <c r="H116" s="20">
        <v>0</v>
      </c>
      <c r="I116" s="20">
        <v>13.7</v>
      </c>
      <c r="J116" s="20">
        <v>56</v>
      </c>
      <c r="K116" s="181" t="s">
        <v>67</v>
      </c>
      <c r="L116" s="41">
        <v>3.9</v>
      </c>
    </row>
    <row r="117" spans="1:16" ht="15.75">
      <c r="A117" s="37"/>
      <c r="B117" s="17"/>
      <c r="C117" s="18"/>
      <c r="D117" s="168" t="s">
        <v>26</v>
      </c>
      <c r="E117" s="19" t="s">
        <v>68</v>
      </c>
      <c r="F117" s="20">
        <v>70</v>
      </c>
      <c r="G117" s="20">
        <f>F117*3.2/50</f>
        <v>4.4800000000000004</v>
      </c>
      <c r="H117" s="20">
        <f>F117*7.7/50</f>
        <v>10.78</v>
      </c>
      <c r="I117" s="20">
        <f>F117*19.5/50</f>
        <v>27.3</v>
      </c>
      <c r="J117" s="20">
        <f>F117*160/50</f>
        <v>224</v>
      </c>
      <c r="K117" s="192">
        <v>44209</v>
      </c>
      <c r="L117" s="41">
        <v>29.12</v>
      </c>
    </row>
    <row r="118" spans="1:16" ht="15.75">
      <c r="A118" s="37"/>
      <c r="B118" s="17"/>
      <c r="C118" s="18"/>
      <c r="D118" s="168" t="s">
        <v>26</v>
      </c>
      <c r="E118" s="32" t="s">
        <v>157</v>
      </c>
      <c r="F118" s="40">
        <v>55</v>
      </c>
      <c r="G118" s="40">
        <f>SUM(F118*1.68/30)</f>
        <v>3.0799999999999996</v>
      </c>
      <c r="H118" s="40">
        <f>SUM(F118*0.33/30)</f>
        <v>0.60500000000000009</v>
      </c>
      <c r="I118" s="40">
        <f>SUM(F118*14.82/30)</f>
        <v>27.17</v>
      </c>
      <c r="J118" s="40">
        <f>SUM(F118*68.97/30)</f>
        <v>126.44499999999999</v>
      </c>
      <c r="K118" s="181" t="s">
        <v>27</v>
      </c>
      <c r="L118" s="41">
        <v>6.51</v>
      </c>
    </row>
    <row r="119" spans="1:16" ht="15.75">
      <c r="A119" s="37"/>
      <c r="B119" s="17"/>
      <c r="C119" s="18"/>
      <c r="D119" s="77"/>
      <c r="E119" s="19"/>
      <c r="F119" s="20"/>
      <c r="G119" s="20"/>
      <c r="H119" s="20"/>
      <c r="I119" s="20"/>
      <c r="J119" s="20"/>
      <c r="K119" s="181"/>
      <c r="L119" s="41"/>
    </row>
    <row r="120" spans="1:16" ht="15.75">
      <c r="A120" s="37"/>
      <c r="B120" s="17"/>
      <c r="C120" s="18"/>
      <c r="D120" s="77"/>
      <c r="E120" s="159"/>
      <c r="F120" s="235"/>
      <c r="G120" s="235"/>
      <c r="H120" s="235"/>
      <c r="I120" s="235"/>
      <c r="J120" s="235"/>
      <c r="K120" s="181"/>
      <c r="L120" s="41"/>
    </row>
    <row r="121" spans="1:16" ht="15.75">
      <c r="A121" s="42"/>
      <c r="B121" s="23"/>
      <c r="C121" s="24"/>
      <c r="D121" s="206" t="s">
        <v>29</v>
      </c>
      <c r="E121" s="207"/>
      <c r="F121" s="208">
        <f>SUM(F115:F120)</f>
        <v>580</v>
      </c>
      <c r="G121" s="208">
        <f>SUM(G115:G120)</f>
        <v>50.855000000000004</v>
      </c>
      <c r="H121" s="208">
        <f>SUM(H115:H120)</f>
        <v>35.865000000000002</v>
      </c>
      <c r="I121" s="208">
        <f>SUM(I115:I120)</f>
        <v>101.83</v>
      </c>
      <c r="J121" s="208">
        <f>SUM(J115:J120)</f>
        <v>934.29500000000007</v>
      </c>
      <c r="K121" s="209"/>
      <c r="L121" s="208">
        <f>SUM(L115:L120)</f>
        <v>147.82</v>
      </c>
    </row>
    <row r="122" spans="1:16" ht="15.75">
      <c r="A122" s="29">
        <f>A115</f>
        <v>2</v>
      </c>
      <c r="B122" s="29">
        <f>B115</f>
        <v>2</v>
      </c>
      <c r="C122" s="30" t="s">
        <v>30</v>
      </c>
      <c r="D122" s="168" t="s">
        <v>31</v>
      </c>
      <c r="E122" s="46" t="s">
        <v>71</v>
      </c>
      <c r="F122" s="40">
        <v>100</v>
      </c>
      <c r="G122" s="20">
        <f>F122*1.3/100</f>
        <v>1.3</v>
      </c>
      <c r="H122" s="20">
        <f>F122*8.9/100</f>
        <v>8.9</v>
      </c>
      <c r="I122" s="20">
        <f>F122*6.7/100</f>
        <v>6.7</v>
      </c>
      <c r="J122" s="20">
        <f>F122*112/100</f>
        <v>112</v>
      </c>
      <c r="K122" s="181">
        <v>72</v>
      </c>
      <c r="L122" s="41">
        <v>18.420000000000002</v>
      </c>
    </row>
    <row r="123" spans="1:16" ht="31.5">
      <c r="A123" s="37"/>
      <c r="B123" s="17"/>
      <c r="C123" s="18"/>
      <c r="D123" s="168" t="s">
        <v>32</v>
      </c>
      <c r="E123" s="127" t="s">
        <v>128</v>
      </c>
      <c r="F123" s="20">
        <v>250</v>
      </c>
      <c r="G123" s="40">
        <f>F123*2.5/250+0.2+1.7</f>
        <v>4.4000000000000004</v>
      </c>
      <c r="H123" s="40">
        <f>F123*5.4/250+1.7</f>
        <v>7.1000000000000005</v>
      </c>
      <c r="I123" s="40">
        <f>F123*16.6/250+1</f>
        <v>17.600000000000001</v>
      </c>
      <c r="J123" s="40">
        <f>F123*126.9/200</f>
        <v>158.625</v>
      </c>
      <c r="K123" s="181">
        <v>44502</v>
      </c>
      <c r="L123" s="41">
        <v>20.38</v>
      </c>
    </row>
    <row r="124" spans="1:16" ht="15.75">
      <c r="A124" s="37"/>
      <c r="B124" s="17"/>
      <c r="C124" s="18"/>
      <c r="D124" s="168" t="s">
        <v>33</v>
      </c>
      <c r="E124" s="124" t="s">
        <v>121</v>
      </c>
      <c r="F124" s="15">
        <v>100</v>
      </c>
      <c r="G124" s="20">
        <f>F124*11.68/90</f>
        <v>12.977777777777778</v>
      </c>
      <c r="H124" s="20">
        <f>F124*11.61/90</f>
        <v>12.9</v>
      </c>
      <c r="I124" s="20">
        <f>F124*5.76/90</f>
        <v>6.4</v>
      </c>
      <c r="J124" s="20">
        <f>F124*175/90</f>
        <v>194.44444444444446</v>
      </c>
      <c r="K124" s="183" t="s">
        <v>124</v>
      </c>
      <c r="L124" s="41">
        <v>74.150000000000006</v>
      </c>
    </row>
    <row r="125" spans="1:16" ht="15.75">
      <c r="A125" s="37"/>
      <c r="B125" s="17"/>
      <c r="C125" s="18"/>
      <c r="D125" s="168" t="s">
        <v>34</v>
      </c>
      <c r="E125" s="123" t="s">
        <v>35</v>
      </c>
      <c r="F125" s="15">
        <v>180</v>
      </c>
      <c r="G125" s="20">
        <f>F125*5.3/150</f>
        <v>6.36</v>
      </c>
      <c r="H125" s="20">
        <f>F125*3/150</f>
        <v>3.6</v>
      </c>
      <c r="I125" s="20">
        <f>F125*32.4/150</f>
        <v>38.880000000000003</v>
      </c>
      <c r="J125" s="20">
        <f>F125*178/150</f>
        <v>213.6</v>
      </c>
      <c r="K125" s="183" t="s">
        <v>74</v>
      </c>
      <c r="L125" s="41">
        <v>10.91</v>
      </c>
    </row>
    <row r="126" spans="1:16" ht="15.75">
      <c r="A126" s="37"/>
      <c r="B126" s="17"/>
      <c r="C126" s="18"/>
      <c r="D126" s="168" t="s">
        <v>96</v>
      </c>
      <c r="E126" s="125" t="s">
        <v>129</v>
      </c>
      <c r="F126" s="126">
        <v>200</v>
      </c>
      <c r="G126" s="126">
        <v>0.4</v>
      </c>
      <c r="H126" s="126">
        <v>0.4</v>
      </c>
      <c r="I126" s="126">
        <v>18.7</v>
      </c>
      <c r="J126" s="126">
        <v>80</v>
      </c>
      <c r="K126" s="183" t="s">
        <v>130</v>
      </c>
      <c r="L126" s="41">
        <v>13.89</v>
      </c>
    </row>
    <row r="127" spans="1:16" ht="15.75">
      <c r="A127" s="37"/>
      <c r="B127" s="17"/>
      <c r="C127" s="18"/>
      <c r="D127" s="170" t="s">
        <v>88</v>
      </c>
      <c r="E127" s="21" t="s">
        <v>38</v>
      </c>
      <c r="F127" s="20">
        <v>50</v>
      </c>
      <c r="G127" s="20">
        <f>SUM(F127*2.37/30)</f>
        <v>3.95</v>
      </c>
      <c r="H127" s="20">
        <f>SUM(F127*0.3/30)</f>
        <v>0.5</v>
      </c>
      <c r="I127" s="20">
        <f>SUM(F127*14.49/30)</f>
        <v>24.15</v>
      </c>
      <c r="J127" s="20">
        <f>SUM(F127*70.14/30)</f>
        <v>116.9</v>
      </c>
      <c r="K127" s="183" t="s">
        <v>27</v>
      </c>
      <c r="L127" s="41">
        <v>6.4</v>
      </c>
    </row>
    <row r="128" spans="1:16" ht="15.75">
      <c r="A128" s="37"/>
      <c r="B128" s="17"/>
      <c r="C128" s="18"/>
      <c r="D128" s="168" t="s">
        <v>39</v>
      </c>
      <c r="E128" s="123" t="s">
        <v>157</v>
      </c>
      <c r="F128" s="20">
        <v>31</v>
      </c>
      <c r="G128" s="20">
        <f>SUM(F128*1.68/30)</f>
        <v>1.736</v>
      </c>
      <c r="H128" s="20">
        <f>SUM(F128*0.33/30)</f>
        <v>0.34100000000000003</v>
      </c>
      <c r="I128" s="20">
        <f>SUM(F128*14.82/30)</f>
        <v>15.314</v>
      </c>
      <c r="J128" s="20">
        <f>SUM(F128*68.97/30)</f>
        <v>71.269000000000005</v>
      </c>
      <c r="K128" s="183" t="s">
        <v>27</v>
      </c>
      <c r="L128" s="41">
        <v>3.67</v>
      </c>
    </row>
    <row r="129" spans="1:12" ht="15.75">
      <c r="A129" s="37"/>
      <c r="B129" s="17"/>
      <c r="C129" s="18"/>
      <c r="D129" s="77"/>
      <c r="E129" s="159"/>
      <c r="F129" s="235"/>
      <c r="G129" s="235"/>
      <c r="H129" s="235"/>
      <c r="I129" s="235"/>
      <c r="J129" s="235"/>
      <c r="K129" s="181"/>
      <c r="L129" s="41"/>
    </row>
    <row r="130" spans="1:12" ht="15.75">
      <c r="A130" s="37"/>
      <c r="B130" s="17"/>
      <c r="C130" s="18"/>
      <c r="D130" s="77"/>
      <c r="E130" s="159"/>
      <c r="F130" s="235"/>
      <c r="G130" s="235"/>
      <c r="H130" s="235"/>
      <c r="I130" s="235"/>
      <c r="J130" s="235"/>
      <c r="K130" s="181"/>
      <c r="L130" s="41"/>
    </row>
    <row r="131" spans="1:12" ht="15.75">
      <c r="A131" s="232"/>
      <c r="B131" s="204"/>
      <c r="C131" s="205"/>
      <c r="D131" s="206" t="s">
        <v>29</v>
      </c>
      <c r="E131" s="207"/>
      <c r="F131" s="208">
        <f>SUM(F122:F130)</f>
        <v>911</v>
      </c>
      <c r="G131" s="208">
        <f t="shared" ref="G131:J131" si="41">SUM(G122:G130)</f>
        <v>31.123777777777775</v>
      </c>
      <c r="H131" s="208">
        <f t="shared" si="41"/>
        <v>33.741</v>
      </c>
      <c r="I131" s="208">
        <f t="shared" si="41"/>
        <v>127.744</v>
      </c>
      <c r="J131" s="208">
        <f t="shared" si="41"/>
        <v>946.83844444444446</v>
      </c>
      <c r="K131" s="233"/>
      <c r="L131" s="208">
        <f t="shared" ref="L131" si="42">SUM(L122:L130)</f>
        <v>147.82</v>
      </c>
    </row>
    <row r="132" spans="1:12" ht="16.5" thickBot="1">
      <c r="A132" s="234">
        <f>A115</f>
        <v>2</v>
      </c>
      <c r="B132" s="234">
        <f>B115</f>
        <v>2</v>
      </c>
      <c r="C132" s="256" t="s">
        <v>40</v>
      </c>
      <c r="D132" s="257"/>
      <c r="E132" s="213"/>
      <c r="F132" s="214">
        <f>F121+F131</f>
        <v>1491</v>
      </c>
      <c r="G132" s="214">
        <f t="shared" ref="G132" si="43">G121+G131</f>
        <v>81.978777777777779</v>
      </c>
      <c r="H132" s="214">
        <f t="shared" ref="H132" si="44">H121+H131</f>
        <v>69.605999999999995</v>
      </c>
      <c r="I132" s="214">
        <f t="shared" ref="I132" si="45">I121+I131</f>
        <v>229.57400000000001</v>
      </c>
      <c r="J132" s="214">
        <f t="shared" ref="J132:L132" si="46">J121+J131</f>
        <v>1881.1334444444446</v>
      </c>
      <c r="K132" s="215"/>
      <c r="L132" s="214">
        <f t="shared" si="46"/>
        <v>295.64</v>
      </c>
    </row>
    <row r="133" spans="1:12" ht="15.75">
      <c r="A133" s="12">
        <v>2</v>
      </c>
      <c r="B133" s="13">
        <v>3</v>
      </c>
      <c r="C133" s="14" t="s">
        <v>22</v>
      </c>
      <c r="D133" s="167" t="s">
        <v>33</v>
      </c>
      <c r="E133" s="45" t="s">
        <v>73</v>
      </c>
      <c r="F133" s="20">
        <v>130</v>
      </c>
      <c r="G133" s="20">
        <f>F133*13.92/120</f>
        <v>15.08</v>
      </c>
      <c r="H133" s="20">
        <f>F133*14.52/120</f>
        <v>15.729999999999999</v>
      </c>
      <c r="I133" s="20">
        <f>F133*13.44/120</f>
        <v>14.56</v>
      </c>
      <c r="J133" s="20">
        <f>F133*240/120</f>
        <v>260</v>
      </c>
      <c r="K133" s="183">
        <v>44236</v>
      </c>
      <c r="L133" s="48">
        <v>79.11</v>
      </c>
    </row>
    <row r="134" spans="1:12" ht="15.75">
      <c r="A134" s="16"/>
      <c r="B134" s="17"/>
      <c r="C134" s="18"/>
      <c r="D134" s="77" t="s">
        <v>34</v>
      </c>
      <c r="E134" s="130" t="s">
        <v>131</v>
      </c>
      <c r="F134" s="129">
        <v>180</v>
      </c>
      <c r="G134" s="129">
        <f>F134*8.6/150</f>
        <v>10.32</v>
      </c>
      <c r="H134" s="129">
        <f>F134*6.8/150</f>
        <v>8.16</v>
      </c>
      <c r="I134" s="129">
        <f>F134*37.8/150</f>
        <v>45.359999999999992</v>
      </c>
      <c r="J134" s="129">
        <f>F134*266/150</f>
        <v>319.2</v>
      </c>
      <c r="K134" s="181" t="s">
        <v>95</v>
      </c>
      <c r="L134" s="41">
        <v>15.43</v>
      </c>
    </row>
    <row r="135" spans="1:12" ht="15.75">
      <c r="A135" s="16"/>
      <c r="B135" s="17"/>
      <c r="C135" s="18"/>
      <c r="D135" s="168" t="s">
        <v>24</v>
      </c>
      <c r="E135" s="130" t="s">
        <v>60</v>
      </c>
      <c r="F135" s="129">
        <v>200</v>
      </c>
      <c r="G135" s="129">
        <v>0.2</v>
      </c>
      <c r="H135" s="129">
        <v>0.1</v>
      </c>
      <c r="I135" s="129">
        <v>13.1</v>
      </c>
      <c r="J135" s="129">
        <v>54.1</v>
      </c>
      <c r="K135" s="193" t="s">
        <v>61</v>
      </c>
      <c r="L135" s="41">
        <v>7.79</v>
      </c>
    </row>
    <row r="136" spans="1:12" ht="15.75" customHeight="1">
      <c r="A136" s="16"/>
      <c r="B136" s="17"/>
      <c r="C136" s="18"/>
      <c r="D136" s="168" t="s">
        <v>26</v>
      </c>
      <c r="E136" s="21" t="s">
        <v>38</v>
      </c>
      <c r="F136" s="20">
        <v>50</v>
      </c>
      <c r="G136" s="20">
        <f>SUM(F136*2.37/30)</f>
        <v>3.95</v>
      </c>
      <c r="H136" s="20">
        <f>SUM(F136*0.3/30)</f>
        <v>0.5</v>
      </c>
      <c r="I136" s="20">
        <f>SUM(F136*14.49/30)</f>
        <v>24.15</v>
      </c>
      <c r="J136" s="20">
        <f>SUM(F136*70.14/30)</f>
        <v>116.9</v>
      </c>
      <c r="K136" s="190" t="s">
        <v>27</v>
      </c>
      <c r="L136" s="41">
        <v>6.4</v>
      </c>
    </row>
    <row r="137" spans="1:12" ht="15.75">
      <c r="A137" s="16"/>
      <c r="B137" s="17"/>
      <c r="C137" s="18"/>
      <c r="D137" s="168" t="s">
        <v>39</v>
      </c>
      <c r="E137" s="128" t="s">
        <v>157</v>
      </c>
      <c r="F137" s="20">
        <v>50</v>
      </c>
      <c r="G137" s="20">
        <f>SUM(F137*1.68/30)</f>
        <v>2.8</v>
      </c>
      <c r="H137" s="20">
        <f>SUM(F137*0.33/30)</f>
        <v>0.55000000000000004</v>
      </c>
      <c r="I137" s="20">
        <f>SUM(F137*14.82/30)</f>
        <v>24.7</v>
      </c>
      <c r="J137" s="20">
        <f>SUM(F137*68.97/30)</f>
        <v>114.95</v>
      </c>
      <c r="K137" s="190" t="s">
        <v>41</v>
      </c>
      <c r="L137" s="41">
        <v>5.92</v>
      </c>
    </row>
    <row r="138" spans="1:12" ht="15.75">
      <c r="A138" s="16"/>
      <c r="B138" s="17"/>
      <c r="C138" s="18"/>
      <c r="D138" s="77"/>
      <c r="E138" s="237" t="s">
        <v>155</v>
      </c>
      <c r="F138" s="40">
        <v>43</v>
      </c>
      <c r="G138" s="40">
        <v>0.13</v>
      </c>
      <c r="H138" s="40">
        <v>3.2</v>
      </c>
      <c r="I138" s="40">
        <v>2.75</v>
      </c>
      <c r="J138" s="40">
        <v>32.68</v>
      </c>
      <c r="K138" s="181" t="s">
        <v>27</v>
      </c>
      <c r="L138" s="41">
        <v>33.17</v>
      </c>
    </row>
    <row r="139" spans="1:12" ht="15.75">
      <c r="A139" s="16"/>
      <c r="B139" s="17"/>
      <c r="C139" s="18"/>
      <c r="D139" s="77"/>
      <c r="E139" s="159"/>
      <c r="F139" s="235"/>
      <c r="G139" s="235"/>
      <c r="H139" s="235"/>
      <c r="I139" s="235"/>
      <c r="J139" s="235"/>
      <c r="K139" s="181"/>
      <c r="L139" s="41"/>
    </row>
    <row r="140" spans="1:12" ht="15.75">
      <c r="A140" s="220"/>
      <c r="B140" s="221"/>
      <c r="C140" s="222"/>
      <c r="D140" s="223" t="s">
        <v>29</v>
      </c>
      <c r="E140" s="224"/>
      <c r="F140" s="225">
        <f>SUM(F133:F139)</f>
        <v>653</v>
      </c>
      <c r="G140" s="225">
        <f t="shared" ref="G140:J140" si="47">SUM(G133:G139)</f>
        <v>32.479999999999997</v>
      </c>
      <c r="H140" s="225">
        <f>SUM(H133:H139)</f>
        <v>28.240000000000002</v>
      </c>
      <c r="I140" s="225">
        <f t="shared" si="47"/>
        <v>124.61999999999999</v>
      </c>
      <c r="J140" s="225">
        <f t="shared" si="47"/>
        <v>897.83</v>
      </c>
      <c r="K140" s="236"/>
      <c r="L140" s="225">
        <f>SUM(L133:L139)</f>
        <v>147.82</v>
      </c>
    </row>
    <row r="141" spans="1:12" ht="15.75">
      <c r="A141" s="28">
        <f>A133</f>
        <v>2</v>
      </c>
      <c r="B141" s="29">
        <f>B133</f>
        <v>3</v>
      </c>
      <c r="C141" s="30" t="s">
        <v>30</v>
      </c>
      <c r="D141" s="168" t="s">
        <v>31</v>
      </c>
      <c r="E141" s="133" t="s">
        <v>132</v>
      </c>
      <c r="F141" s="137">
        <v>100</v>
      </c>
      <c r="G141" s="137">
        <f>F141*3.06/60</f>
        <v>5.0999999999999996</v>
      </c>
      <c r="H141" s="137">
        <f>F141*9.36/60</f>
        <v>15.6</v>
      </c>
      <c r="I141" s="137">
        <f>F141*8.07/60</f>
        <v>13.45</v>
      </c>
      <c r="J141" s="137">
        <f>F141*128.76/60</f>
        <v>214.6</v>
      </c>
      <c r="K141" s="177" t="s">
        <v>134</v>
      </c>
      <c r="L141" s="41">
        <v>14.45</v>
      </c>
    </row>
    <row r="142" spans="1:12" ht="36" customHeight="1">
      <c r="A142" s="16"/>
      <c r="B142" s="17"/>
      <c r="C142" s="18"/>
      <c r="D142" s="168" t="s">
        <v>32</v>
      </c>
      <c r="E142" s="138" t="s">
        <v>133</v>
      </c>
      <c r="F142" s="137">
        <v>250</v>
      </c>
      <c r="G142" s="137">
        <f>F142*3.42/200</f>
        <v>4.2750000000000004</v>
      </c>
      <c r="H142" s="137">
        <f>F142*4.98/200</f>
        <v>6.2249999999999996</v>
      </c>
      <c r="I142" s="137">
        <f>F142*7/200</f>
        <v>8.75</v>
      </c>
      <c r="J142" s="137">
        <f>F142*81.44/200</f>
        <v>101.8</v>
      </c>
      <c r="K142" s="183">
        <v>44379</v>
      </c>
      <c r="L142" s="41">
        <v>20.3</v>
      </c>
    </row>
    <row r="143" spans="1:12" ht="15.75">
      <c r="A143" s="16"/>
      <c r="B143" s="17"/>
      <c r="C143" s="18"/>
      <c r="D143" s="168" t="s">
        <v>33</v>
      </c>
      <c r="E143" s="136" t="s">
        <v>72</v>
      </c>
      <c r="F143" s="132">
        <v>100</v>
      </c>
      <c r="G143" s="137">
        <v>10.076923076923077</v>
      </c>
      <c r="H143" s="137">
        <v>7.0769230769230758</v>
      </c>
      <c r="I143" s="137">
        <v>9.0769230769230766</v>
      </c>
      <c r="J143" s="137">
        <v>140.76923076923077</v>
      </c>
      <c r="K143" s="189" t="s">
        <v>135</v>
      </c>
      <c r="L143" s="41">
        <v>74.41</v>
      </c>
    </row>
    <row r="144" spans="1:12" ht="15.75">
      <c r="A144" s="16"/>
      <c r="B144" s="17"/>
      <c r="C144" s="18"/>
      <c r="D144" s="168" t="s">
        <v>34</v>
      </c>
      <c r="E144" s="135" t="s">
        <v>56</v>
      </c>
      <c r="F144" s="20">
        <v>180</v>
      </c>
      <c r="G144" s="20">
        <f>F144*3.17/150</f>
        <v>3.8040000000000003</v>
      </c>
      <c r="H144" s="20">
        <f>F144*3.67/150</f>
        <v>4.4039999999999999</v>
      </c>
      <c r="I144" s="20">
        <f>F144*20.4/150</f>
        <v>24.479999999999997</v>
      </c>
      <c r="J144" s="40">
        <f>F144*127.5/150</f>
        <v>153</v>
      </c>
      <c r="K144" s="177" t="s">
        <v>136</v>
      </c>
      <c r="L144" s="41">
        <v>23.58</v>
      </c>
    </row>
    <row r="145" spans="1:12" ht="15.75">
      <c r="A145" s="16"/>
      <c r="B145" s="17"/>
      <c r="C145" s="18"/>
      <c r="D145" s="168" t="s">
        <v>96</v>
      </c>
      <c r="E145" s="135" t="s">
        <v>49</v>
      </c>
      <c r="F145" s="132">
        <v>200</v>
      </c>
      <c r="G145" s="132">
        <v>0</v>
      </c>
      <c r="H145" s="132">
        <v>0</v>
      </c>
      <c r="I145" s="132">
        <v>27.8</v>
      </c>
      <c r="J145" s="132">
        <v>111</v>
      </c>
      <c r="K145" s="177" t="s">
        <v>137</v>
      </c>
      <c r="L145" s="41">
        <v>5.51</v>
      </c>
    </row>
    <row r="146" spans="1:12" ht="15.75">
      <c r="A146" s="16"/>
      <c r="B146" s="17"/>
      <c r="C146" s="18"/>
      <c r="D146" s="168" t="s">
        <v>37</v>
      </c>
      <c r="E146" s="21" t="s">
        <v>38</v>
      </c>
      <c r="F146" s="20">
        <v>47</v>
      </c>
      <c r="G146" s="20">
        <f>SUM(F146*2.37/30)</f>
        <v>3.7130000000000001</v>
      </c>
      <c r="H146" s="20">
        <f>SUM(F146*0.3/30)</f>
        <v>0.47</v>
      </c>
      <c r="I146" s="20">
        <f>SUM(F146*14.49/30)</f>
        <v>22.701000000000001</v>
      </c>
      <c r="J146" s="20">
        <f>SUM(F146*70.14/30)</f>
        <v>109.886</v>
      </c>
      <c r="K146" s="190" t="s">
        <v>27</v>
      </c>
      <c r="L146" s="41">
        <v>6.02</v>
      </c>
    </row>
    <row r="147" spans="1:12" ht="15.75">
      <c r="A147" s="16"/>
      <c r="B147" s="17"/>
      <c r="C147" s="18"/>
      <c r="D147" s="168" t="s">
        <v>39</v>
      </c>
      <c r="E147" s="131" t="s">
        <v>157</v>
      </c>
      <c r="F147" s="20">
        <v>30</v>
      </c>
      <c r="G147" s="20">
        <f>SUM(F147*1.68/30)</f>
        <v>1.68</v>
      </c>
      <c r="H147" s="20">
        <f>SUM(F147*0.33/30)</f>
        <v>0.33</v>
      </c>
      <c r="I147" s="20">
        <f>SUM(F147*14.82/30)</f>
        <v>14.82</v>
      </c>
      <c r="J147" s="20">
        <f>SUM(F147*68.97/30)</f>
        <v>68.97</v>
      </c>
      <c r="K147" s="190" t="s">
        <v>41</v>
      </c>
      <c r="L147" s="41">
        <v>3.55</v>
      </c>
    </row>
    <row r="148" spans="1:12" ht="15.75">
      <c r="A148" s="16"/>
      <c r="B148" s="17"/>
      <c r="C148" s="18"/>
      <c r="D148" s="77"/>
      <c r="E148" s="159"/>
      <c r="F148" s="235"/>
      <c r="G148" s="235"/>
      <c r="H148" s="235"/>
      <c r="I148" s="235"/>
      <c r="J148" s="235"/>
      <c r="K148" s="181"/>
      <c r="L148" s="41"/>
    </row>
    <row r="149" spans="1:12" ht="15.75">
      <c r="A149" s="16"/>
      <c r="B149" s="17"/>
      <c r="C149" s="18"/>
      <c r="D149" s="77"/>
      <c r="E149" s="159"/>
      <c r="F149" s="235"/>
      <c r="G149" s="235"/>
      <c r="H149" s="235"/>
      <c r="I149" s="235"/>
      <c r="J149" s="235"/>
      <c r="K149" s="181"/>
      <c r="L149" s="41"/>
    </row>
    <row r="150" spans="1:12" ht="15.75">
      <c r="A150" s="220"/>
      <c r="B150" s="221"/>
      <c r="C150" s="222"/>
      <c r="D150" s="223" t="s">
        <v>29</v>
      </c>
      <c r="E150" s="224"/>
      <c r="F150" s="225">
        <f>SUM(F141:F149)</f>
        <v>907</v>
      </c>
      <c r="G150" s="225">
        <f t="shared" ref="G150:J150" si="48">SUM(G141:G149)</f>
        <v>28.648923076923076</v>
      </c>
      <c r="H150" s="225">
        <f t="shared" si="48"/>
        <v>34.105923076923077</v>
      </c>
      <c r="I150" s="225">
        <f t="shared" si="48"/>
        <v>121.07792307692307</v>
      </c>
      <c r="J150" s="225">
        <f t="shared" si="48"/>
        <v>900.0252307692308</v>
      </c>
      <c r="K150" s="226"/>
      <c r="L150" s="225">
        <f t="shared" ref="L150" si="49">SUM(L141:L149)</f>
        <v>147.82000000000002</v>
      </c>
    </row>
    <row r="151" spans="1:12" ht="16.5" thickBot="1">
      <c r="A151" s="227">
        <f>A133</f>
        <v>2</v>
      </c>
      <c r="B151" s="228">
        <f>B133</f>
        <v>3</v>
      </c>
      <c r="C151" s="251" t="s">
        <v>40</v>
      </c>
      <c r="D151" s="252"/>
      <c r="E151" s="229"/>
      <c r="F151" s="230">
        <f>F140+F150</f>
        <v>1560</v>
      </c>
      <c r="G151" s="230">
        <f t="shared" ref="G151" si="50">G140+G150</f>
        <v>61.128923076923073</v>
      </c>
      <c r="H151" s="230">
        <f t="shared" ref="H151" si="51">H140+H150</f>
        <v>62.345923076923079</v>
      </c>
      <c r="I151" s="230">
        <f t="shared" ref="I151" si="52">I140+I150</f>
        <v>245.69792307692308</v>
      </c>
      <c r="J151" s="230">
        <f t="shared" ref="J151" si="53">J140+J150</f>
        <v>1797.8552307692307</v>
      </c>
      <c r="K151" s="231"/>
      <c r="L151" s="230">
        <f>L140+L150</f>
        <v>295.64</v>
      </c>
    </row>
    <row r="152" spans="1:12" ht="15.75">
      <c r="A152" s="16"/>
      <c r="B152" s="17"/>
      <c r="C152" s="18"/>
      <c r="D152" s="170" t="s">
        <v>33</v>
      </c>
      <c r="E152" s="134" t="s">
        <v>97</v>
      </c>
      <c r="F152" s="20">
        <v>100</v>
      </c>
      <c r="G152" s="20">
        <f>F152*11.6/90</f>
        <v>12.888888888888889</v>
      </c>
      <c r="H152" s="20">
        <f>F152*12.1/90-0.05</f>
        <v>13.394444444444444</v>
      </c>
      <c r="I152" s="20">
        <f>F152*13.1/90</f>
        <v>14.555555555555555</v>
      </c>
      <c r="J152" s="20">
        <f>F152*207.7/90</f>
        <v>230.77777777777777</v>
      </c>
      <c r="K152" s="187" t="s">
        <v>149</v>
      </c>
      <c r="L152" s="41">
        <v>96.49</v>
      </c>
    </row>
    <row r="153" spans="1:12" ht="15.75">
      <c r="A153" s="16"/>
      <c r="B153" s="17"/>
      <c r="C153" s="18"/>
      <c r="D153" s="170" t="s">
        <v>34</v>
      </c>
      <c r="E153" s="135" t="s">
        <v>158</v>
      </c>
      <c r="F153" s="40">
        <v>180</v>
      </c>
      <c r="G153" s="40">
        <f>F153*3.25/150</f>
        <v>3.9</v>
      </c>
      <c r="H153" s="40">
        <f>F153*2.85/150</f>
        <v>3.42</v>
      </c>
      <c r="I153" s="40">
        <f>F153*11.9/150</f>
        <v>14.28</v>
      </c>
      <c r="J153" s="40">
        <f>F153*87/150</f>
        <v>104.4</v>
      </c>
      <c r="K153" s="183">
        <v>44533</v>
      </c>
      <c r="L153" s="41">
        <v>17.57</v>
      </c>
    </row>
    <row r="154" spans="1:12" ht="15.75">
      <c r="A154" s="16"/>
      <c r="B154" s="17"/>
      <c r="C154" s="18"/>
      <c r="D154" s="170" t="s">
        <v>24</v>
      </c>
      <c r="E154" s="140" t="s">
        <v>138</v>
      </c>
      <c r="F154" s="139">
        <v>200</v>
      </c>
      <c r="G154" s="139">
        <v>0.3</v>
      </c>
      <c r="H154" s="139">
        <v>0.1</v>
      </c>
      <c r="I154" s="139">
        <v>18.899999999999999</v>
      </c>
      <c r="J154" s="139">
        <v>77.7</v>
      </c>
      <c r="K154" s="181">
        <v>44387</v>
      </c>
      <c r="L154" s="41">
        <v>7.26</v>
      </c>
    </row>
    <row r="155" spans="1:12" ht="15.75">
      <c r="A155" s="16"/>
      <c r="B155" s="17"/>
      <c r="C155" s="18"/>
      <c r="D155" s="168" t="s">
        <v>88</v>
      </c>
      <c r="E155" s="154" t="s">
        <v>68</v>
      </c>
      <c r="F155" s="106">
        <v>50</v>
      </c>
      <c r="G155" s="153">
        <f>F155*3.2/50</f>
        <v>3.2</v>
      </c>
      <c r="H155" s="153">
        <f>F155*7.7/50</f>
        <v>7.7</v>
      </c>
      <c r="I155" s="153">
        <f>F155*19.5/50</f>
        <v>19.5</v>
      </c>
      <c r="J155" s="153">
        <f>F155*160/50</f>
        <v>160</v>
      </c>
      <c r="K155" s="181">
        <v>44209</v>
      </c>
      <c r="L155" s="41">
        <v>20.8</v>
      </c>
    </row>
    <row r="156" spans="1:12" ht="15.75">
      <c r="A156" s="16"/>
      <c r="B156" s="17"/>
      <c r="C156" s="18"/>
      <c r="D156" s="168" t="s">
        <v>39</v>
      </c>
      <c r="E156" s="32" t="s">
        <v>157</v>
      </c>
      <c r="F156" s="20">
        <v>38</v>
      </c>
      <c r="G156" s="20">
        <f>SUM(F156*1.68/30)</f>
        <v>2.1279999999999997</v>
      </c>
      <c r="H156" s="20">
        <f>SUM(F156*0.33/30)</f>
        <v>0.41800000000000004</v>
      </c>
      <c r="I156" s="20">
        <f>SUM(F156*14.82/30)</f>
        <v>18.771999999999998</v>
      </c>
      <c r="J156" s="20">
        <f>SUM(F156*68.97/30)</f>
        <v>87.362000000000009</v>
      </c>
      <c r="K156" s="181" t="s">
        <v>41</v>
      </c>
      <c r="L156" s="41">
        <v>5.7</v>
      </c>
    </row>
    <row r="157" spans="1:12" ht="15.75">
      <c r="A157" s="16"/>
      <c r="B157" s="17"/>
      <c r="C157" s="18"/>
      <c r="D157" s="168"/>
      <c r="E157" s="32"/>
      <c r="F157" s="20"/>
      <c r="G157" s="20"/>
      <c r="H157" s="20"/>
      <c r="I157" s="20"/>
      <c r="J157" s="20"/>
      <c r="K157" s="181"/>
      <c r="L157" s="41"/>
    </row>
    <row r="158" spans="1:12" ht="15.75">
      <c r="A158" s="220"/>
      <c r="B158" s="221"/>
      <c r="C158" s="222"/>
      <c r="D158" s="223" t="s">
        <v>29</v>
      </c>
      <c r="E158" s="224"/>
      <c r="F158" s="225">
        <f>F152+F153+F154+F155+F156</f>
        <v>568</v>
      </c>
      <c r="G158" s="225">
        <f t="shared" ref="G158:J158" si="54">G152+G153+G154+G155+G156</f>
        <v>22.416888888888888</v>
      </c>
      <c r="H158" s="225">
        <f t="shared" si="54"/>
        <v>25.032444444444444</v>
      </c>
      <c r="I158" s="225">
        <f t="shared" si="54"/>
        <v>86.007555555555541</v>
      </c>
      <c r="J158" s="225">
        <f t="shared" si="54"/>
        <v>660.2397777777777</v>
      </c>
      <c r="K158" s="226"/>
      <c r="L158" s="225">
        <f>L152+L153+L154+L155+L156+L157</f>
        <v>147.82</v>
      </c>
    </row>
    <row r="159" spans="1:12" ht="31.5">
      <c r="A159" s="28">
        <v>2</v>
      </c>
      <c r="B159" s="29">
        <v>4</v>
      </c>
      <c r="C159" s="30" t="s">
        <v>30</v>
      </c>
      <c r="D159" s="168" t="s">
        <v>31</v>
      </c>
      <c r="E159" s="146" t="s">
        <v>139</v>
      </c>
      <c r="F159" s="148">
        <v>100</v>
      </c>
      <c r="G159" s="148">
        <f>F159*0.72/60</f>
        <v>1.2</v>
      </c>
      <c r="H159" s="148">
        <f>F159*3.6/60</f>
        <v>6</v>
      </c>
      <c r="I159" s="148">
        <f>F159*9.72/60</f>
        <v>16.200000000000003</v>
      </c>
      <c r="J159" s="148">
        <f>F159*74.16/60</f>
        <v>123.6</v>
      </c>
      <c r="K159" s="179" t="s">
        <v>142</v>
      </c>
      <c r="L159" s="41">
        <v>35.049999999999997</v>
      </c>
    </row>
    <row r="160" spans="1:12" ht="31.5">
      <c r="A160" s="16"/>
      <c r="B160" s="17"/>
      <c r="C160" s="18"/>
      <c r="D160" s="168" t="s">
        <v>32</v>
      </c>
      <c r="E160" s="145" t="s">
        <v>98</v>
      </c>
      <c r="F160" s="149">
        <v>250</v>
      </c>
      <c r="G160" s="155">
        <f>F160*4.1/250</f>
        <v>4.0999999999999996</v>
      </c>
      <c r="H160" s="155">
        <f>F160*4.7/250</f>
        <v>4.7</v>
      </c>
      <c r="I160" s="155">
        <f>F160*30.88/250</f>
        <v>30.88</v>
      </c>
      <c r="J160" s="155">
        <f>F160*183.25/250</f>
        <v>183.25</v>
      </c>
      <c r="K160" s="179" t="s">
        <v>65</v>
      </c>
      <c r="L160" s="41">
        <v>9.86</v>
      </c>
    </row>
    <row r="161" spans="1:12" ht="15.75">
      <c r="A161" s="16"/>
      <c r="B161" s="17"/>
      <c r="C161" s="18"/>
      <c r="D161" s="168" t="s">
        <v>33</v>
      </c>
      <c r="E161" s="144" t="s">
        <v>45</v>
      </c>
      <c r="F161" s="20">
        <v>100</v>
      </c>
      <c r="G161" s="20">
        <f>F161*17.19/90</f>
        <v>19.100000000000001</v>
      </c>
      <c r="H161" s="20">
        <f>F161*14.31/90</f>
        <v>15.9</v>
      </c>
      <c r="I161" s="20">
        <f>F161*0.18/90</f>
        <v>0.2</v>
      </c>
      <c r="J161" s="20">
        <f>F161*198/90</f>
        <v>220</v>
      </c>
      <c r="K161" s="180">
        <v>4232</v>
      </c>
      <c r="L161" s="41">
        <v>68.150000000000006</v>
      </c>
    </row>
    <row r="162" spans="1:12" ht="15.75">
      <c r="A162" s="16"/>
      <c r="B162" s="17"/>
      <c r="C162" s="18"/>
      <c r="D162" s="168" t="s">
        <v>34</v>
      </c>
      <c r="E162" s="141" t="s">
        <v>140</v>
      </c>
      <c r="F162" s="147">
        <v>180</v>
      </c>
      <c r="G162" s="147">
        <f>F162*3.67/150</f>
        <v>4.4039999999999999</v>
      </c>
      <c r="H162" s="147">
        <f>F162*5.42/150</f>
        <v>6.5040000000000004</v>
      </c>
      <c r="I162" s="147">
        <f>F162*36.67/150</f>
        <v>44.004000000000005</v>
      </c>
      <c r="J162" s="147">
        <f>F162*210.11/150</f>
        <v>252.13200000000003</v>
      </c>
      <c r="K162" s="179" t="s">
        <v>143</v>
      </c>
      <c r="L162" s="41">
        <v>12.58</v>
      </c>
    </row>
    <row r="163" spans="1:12" ht="15.75">
      <c r="A163" s="16"/>
      <c r="B163" s="17"/>
      <c r="C163" s="18"/>
      <c r="D163" s="168" t="s">
        <v>96</v>
      </c>
      <c r="E163" s="143" t="s">
        <v>141</v>
      </c>
      <c r="F163" s="147">
        <v>200</v>
      </c>
      <c r="G163" s="147">
        <v>0.7</v>
      </c>
      <c r="H163" s="147">
        <v>0</v>
      </c>
      <c r="I163" s="147">
        <v>21.1</v>
      </c>
      <c r="J163" s="147">
        <v>88</v>
      </c>
      <c r="K163" s="179" t="s">
        <v>144</v>
      </c>
      <c r="L163" s="41">
        <v>12.61</v>
      </c>
    </row>
    <row r="164" spans="1:12" ht="15.75">
      <c r="A164" s="16"/>
      <c r="B164" s="17"/>
      <c r="C164" s="18"/>
      <c r="D164" s="168" t="s">
        <v>37</v>
      </c>
      <c r="E164" s="21" t="s">
        <v>38</v>
      </c>
      <c r="F164" s="20">
        <v>47</v>
      </c>
      <c r="G164" s="20">
        <f>SUM(F164*2.37/30)</f>
        <v>3.7130000000000001</v>
      </c>
      <c r="H164" s="20">
        <f>SUM(F164*0.3/30)</f>
        <v>0.47</v>
      </c>
      <c r="I164" s="20">
        <f>SUM(F164*14.49/30)</f>
        <v>22.701000000000001</v>
      </c>
      <c r="J164" s="20">
        <f>SUM(F164*70.14/30)</f>
        <v>109.886</v>
      </c>
      <c r="K164" s="180" t="s">
        <v>27</v>
      </c>
      <c r="L164" s="41">
        <v>6.02</v>
      </c>
    </row>
    <row r="165" spans="1:12" ht="15.75">
      <c r="A165" s="16"/>
      <c r="B165" s="17"/>
      <c r="C165" s="18"/>
      <c r="D165" s="168" t="s">
        <v>39</v>
      </c>
      <c r="E165" s="142" t="s">
        <v>157</v>
      </c>
      <c r="F165" s="20">
        <v>30</v>
      </c>
      <c r="G165" s="20">
        <f>SUM(F165*1.68/30)</f>
        <v>1.68</v>
      </c>
      <c r="H165" s="20">
        <f>SUM(F165*0.33/30)</f>
        <v>0.33</v>
      </c>
      <c r="I165" s="20">
        <f>SUM(F165*14.82/30)</f>
        <v>14.82</v>
      </c>
      <c r="J165" s="20">
        <f>SUM(F165*68.97/30)</f>
        <v>68.97</v>
      </c>
      <c r="K165" s="180" t="s">
        <v>41</v>
      </c>
      <c r="L165" s="41">
        <v>3.55</v>
      </c>
    </row>
    <row r="166" spans="1:12" ht="15.75">
      <c r="A166" s="16"/>
      <c r="B166" s="17"/>
      <c r="C166" s="18"/>
      <c r="D166" s="77"/>
      <c r="E166" s="161"/>
      <c r="F166" s="73"/>
      <c r="G166" s="73"/>
      <c r="H166" s="73"/>
      <c r="I166" s="73"/>
      <c r="J166" s="73"/>
      <c r="K166" s="181"/>
      <c r="L166" s="41"/>
    </row>
    <row r="167" spans="1:12" ht="15.75">
      <c r="A167" s="16"/>
      <c r="B167" s="17"/>
      <c r="C167" s="18"/>
      <c r="D167" s="77"/>
      <c r="E167" s="161"/>
      <c r="F167" s="73"/>
      <c r="G167" s="73"/>
      <c r="H167" s="73"/>
      <c r="I167" s="73"/>
      <c r="J167" s="73"/>
      <c r="K167" s="181"/>
      <c r="L167" s="41"/>
    </row>
    <row r="168" spans="1:12" ht="15.75">
      <c r="A168" s="220"/>
      <c r="B168" s="221"/>
      <c r="C168" s="222"/>
      <c r="D168" s="223" t="s">
        <v>29</v>
      </c>
      <c r="E168" s="224"/>
      <c r="F168" s="225">
        <f>SUM(F159:F167)</f>
        <v>907</v>
      </c>
      <c r="G168" s="225">
        <f t="shared" ref="G168:J168" si="55">SUM(G159:G167)</f>
        <v>34.896999999999998</v>
      </c>
      <c r="H168" s="225">
        <f t="shared" si="55"/>
        <v>33.903999999999996</v>
      </c>
      <c r="I168" s="225">
        <f t="shared" si="55"/>
        <v>149.905</v>
      </c>
      <c r="J168" s="225">
        <f t="shared" si="55"/>
        <v>1045.838</v>
      </c>
      <c r="K168" s="236"/>
      <c r="L168" s="225">
        <f t="shared" ref="L168" si="56">SUM(L159:L167)</f>
        <v>147.82000000000002</v>
      </c>
    </row>
    <row r="169" spans="1:12" ht="16.5" thickBot="1">
      <c r="A169" s="227">
        <v>2</v>
      </c>
      <c r="B169" s="228">
        <v>4</v>
      </c>
      <c r="C169" s="251" t="s">
        <v>40</v>
      </c>
      <c r="D169" s="252"/>
      <c r="E169" s="229"/>
      <c r="F169" s="230">
        <f>F158+F168</f>
        <v>1475</v>
      </c>
      <c r="G169" s="230">
        <f t="shared" ref="G169" si="57">G158+G168</f>
        <v>57.313888888888883</v>
      </c>
      <c r="H169" s="230">
        <f t="shared" ref="H169" si="58">H158+H168</f>
        <v>58.93644444444444</v>
      </c>
      <c r="I169" s="230">
        <f t="shared" ref="I169" si="59">I158+I168</f>
        <v>235.91255555555554</v>
      </c>
      <c r="J169" s="230">
        <f t="shared" ref="J169:L169" si="60">J158+J168</f>
        <v>1706.0777777777776</v>
      </c>
      <c r="K169" s="238"/>
      <c r="L169" s="230">
        <f t="shared" si="60"/>
        <v>295.64</v>
      </c>
    </row>
    <row r="170" spans="1:12" ht="15.75">
      <c r="A170" s="16">
        <v>2</v>
      </c>
      <c r="B170" s="17">
        <v>5</v>
      </c>
      <c r="C170" s="14" t="s">
        <v>22</v>
      </c>
      <c r="D170" s="167" t="s">
        <v>33</v>
      </c>
      <c r="E170" s="151" t="s">
        <v>70</v>
      </c>
      <c r="F170" s="150">
        <v>120</v>
      </c>
      <c r="G170" s="150">
        <f>F170*8.73/90</f>
        <v>11.640000000000002</v>
      </c>
      <c r="H170" s="150">
        <f>F170*12.42/90</f>
        <v>16.560000000000002</v>
      </c>
      <c r="I170" s="150">
        <f>F170*1.53/90</f>
        <v>2.04</v>
      </c>
      <c r="J170" s="150">
        <f>F170*152.82/90</f>
        <v>203.75999999999996</v>
      </c>
      <c r="K170" s="183" t="s">
        <v>145</v>
      </c>
      <c r="L170" s="52">
        <v>73.08</v>
      </c>
    </row>
    <row r="171" spans="1:12" ht="15.75">
      <c r="A171" s="16"/>
      <c r="B171" s="17"/>
      <c r="C171" s="18"/>
      <c r="D171" s="77" t="s">
        <v>34</v>
      </c>
      <c r="E171" s="32" t="s">
        <v>35</v>
      </c>
      <c r="F171" s="15">
        <v>180</v>
      </c>
      <c r="G171" s="20">
        <f>F171*5.3/150</f>
        <v>6.36</v>
      </c>
      <c r="H171" s="20">
        <f>F171*3/150</f>
        <v>3.6</v>
      </c>
      <c r="I171" s="20">
        <f>F171*32.4/150</f>
        <v>38.880000000000003</v>
      </c>
      <c r="J171" s="20">
        <f>F171*178/150</f>
        <v>213.6</v>
      </c>
      <c r="K171" s="181" t="s">
        <v>74</v>
      </c>
      <c r="L171" s="52">
        <v>10.91</v>
      </c>
    </row>
    <row r="172" spans="1:12" ht="15.75">
      <c r="A172" s="16"/>
      <c r="B172" s="17"/>
      <c r="C172" s="18"/>
      <c r="D172" s="168" t="s">
        <v>24</v>
      </c>
      <c r="E172" s="46" t="s">
        <v>43</v>
      </c>
      <c r="F172" s="20">
        <v>200</v>
      </c>
      <c r="G172" s="20">
        <v>0</v>
      </c>
      <c r="H172" s="20">
        <v>0</v>
      </c>
      <c r="I172" s="20">
        <v>12</v>
      </c>
      <c r="J172" s="20">
        <v>48</v>
      </c>
      <c r="K172" s="183" t="s">
        <v>44</v>
      </c>
      <c r="L172" s="52">
        <v>12.57</v>
      </c>
    </row>
    <row r="173" spans="1:12" ht="15.75">
      <c r="A173" s="16"/>
      <c r="B173" s="17"/>
      <c r="C173" s="18"/>
      <c r="D173" s="168" t="s">
        <v>26</v>
      </c>
      <c r="E173" s="141" t="s">
        <v>28</v>
      </c>
      <c r="F173" s="15">
        <v>70</v>
      </c>
      <c r="G173" s="15">
        <f>F173*6.1/50</f>
        <v>8.5399999999999991</v>
      </c>
      <c r="H173" s="15">
        <f>F173*3.7/50</f>
        <v>5.18</v>
      </c>
      <c r="I173" s="15">
        <f>F173*17.5/50</f>
        <v>24.5</v>
      </c>
      <c r="J173" s="15">
        <f>F173*127.7/50</f>
        <v>178.78</v>
      </c>
      <c r="K173" s="177" t="s">
        <v>102</v>
      </c>
      <c r="L173" s="52">
        <v>44.75</v>
      </c>
    </row>
    <row r="174" spans="1:12" ht="15.75">
      <c r="A174" s="16"/>
      <c r="B174" s="17"/>
      <c r="C174" s="18"/>
      <c r="D174" s="168" t="s">
        <v>26</v>
      </c>
      <c r="E174" s="32" t="s">
        <v>157</v>
      </c>
      <c r="F174" s="20">
        <v>55</v>
      </c>
      <c r="G174" s="20">
        <f>SUM(F174*1.68/30)</f>
        <v>3.0799999999999996</v>
      </c>
      <c r="H174" s="20">
        <f>SUM(F174*0.33/30)</f>
        <v>0.60500000000000009</v>
      </c>
      <c r="I174" s="20">
        <f>SUM(F174*14.82/30)</f>
        <v>27.17</v>
      </c>
      <c r="J174" s="20">
        <f>SUM(F174*68.97/30)</f>
        <v>126.44499999999999</v>
      </c>
      <c r="K174" s="190" t="s">
        <v>41</v>
      </c>
      <c r="L174" s="75">
        <v>6.51</v>
      </c>
    </row>
    <row r="175" spans="1:12" ht="15.75">
      <c r="A175" s="16"/>
      <c r="B175" s="17"/>
      <c r="C175" s="18"/>
      <c r="D175" s="77"/>
      <c r="E175" s="45"/>
      <c r="F175" s="40"/>
      <c r="G175" s="20"/>
      <c r="H175" s="20"/>
      <c r="I175" s="20"/>
      <c r="J175" s="20"/>
      <c r="K175" s="177"/>
      <c r="L175" s="73"/>
    </row>
    <row r="176" spans="1:12" ht="15.75" customHeight="1">
      <c r="A176" s="203"/>
      <c r="B176" s="204"/>
      <c r="C176" s="205"/>
      <c r="D176" s="206" t="s">
        <v>29</v>
      </c>
      <c r="E176" s="207"/>
      <c r="F176" s="208">
        <f>SUM(F170:F175)</f>
        <v>625</v>
      </c>
      <c r="G176" s="208">
        <f>SUM(G170:G175)</f>
        <v>29.62</v>
      </c>
      <c r="H176" s="208">
        <f>SUM(H170:H175)</f>
        <v>25.945000000000004</v>
      </c>
      <c r="I176" s="208">
        <f>SUM(I170:I175)</f>
        <v>104.59</v>
      </c>
      <c r="J176" s="208">
        <f>SUM(J170:J175)</f>
        <v>770.58500000000004</v>
      </c>
      <c r="K176" s="209"/>
      <c r="L176" s="208">
        <f>SUM(L170:L175)</f>
        <v>147.82</v>
      </c>
    </row>
    <row r="177" spans="1:12" ht="31.5">
      <c r="A177" s="28">
        <v>2</v>
      </c>
      <c r="B177" s="29">
        <v>5</v>
      </c>
      <c r="C177" s="30" t="s">
        <v>30</v>
      </c>
      <c r="D177" s="168" t="s">
        <v>31</v>
      </c>
      <c r="E177" s="152" t="s">
        <v>146</v>
      </c>
      <c r="F177" s="150">
        <v>100</v>
      </c>
      <c r="G177" s="147">
        <f>F177*2.16/60</f>
        <v>3.6</v>
      </c>
      <c r="H177" s="147">
        <f>F177*4.48/60</f>
        <v>7.4666666666666677</v>
      </c>
      <c r="I177" s="147">
        <f>F177*9.9/60</f>
        <v>16.5</v>
      </c>
      <c r="J177" s="147">
        <f>F177*88.58/60</f>
        <v>147.63333333333333</v>
      </c>
      <c r="K177" s="189" t="s">
        <v>147</v>
      </c>
      <c r="L177" s="41">
        <v>17.75</v>
      </c>
    </row>
    <row r="178" spans="1:12" ht="31.5">
      <c r="A178" s="16"/>
      <c r="B178" s="17"/>
      <c r="C178" s="30"/>
      <c r="D178" s="168" t="s">
        <v>32</v>
      </c>
      <c r="E178" s="45" t="s">
        <v>100</v>
      </c>
      <c r="F178" s="157">
        <v>250</v>
      </c>
      <c r="G178" s="156">
        <f>F178*4.2/250</f>
        <v>4.2</v>
      </c>
      <c r="H178" s="156">
        <f>F178*7.6/250</f>
        <v>7.6</v>
      </c>
      <c r="I178" s="156">
        <f>F178*13.8/250</f>
        <v>13.8</v>
      </c>
      <c r="J178" s="156">
        <f>F178*140.6/250</f>
        <v>140.6</v>
      </c>
      <c r="K178" s="183" t="s">
        <v>75</v>
      </c>
      <c r="L178" s="41">
        <v>20.45</v>
      </c>
    </row>
    <row r="179" spans="1:12" ht="15.75">
      <c r="A179" s="16"/>
      <c r="B179" s="17"/>
      <c r="C179" s="18"/>
      <c r="D179" s="168" t="s">
        <v>33</v>
      </c>
      <c r="E179" s="31" t="s">
        <v>76</v>
      </c>
      <c r="F179" s="15">
        <v>100</v>
      </c>
      <c r="G179" s="20">
        <f>F179*11.68/90</f>
        <v>12.977777777777778</v>
      </c>
      <c r="H179" s="20">
        <f>F179*11.61/90</f>
        <v>12.9</v>
      </c>
      <c r="I179" s="20">
        <f>F179*5.76/90</f>
        <v>6.4</v>
      </c>
      <c r="J179" s="20">
        <f>F179*175/90</f>
        <v>194.44444444444446</v>
      </c>
      <c r="K179" s="194" t="s">
        <v>85</v>
      </c>
      <c r="L179" s="41">
        <v>74.239999999999995</v>
      </c>
    </row>
    <row r="180" spans="1:12" ht="15.75">
      <c r="A180" s="16"/>
      <c r="B180" s="17"/>
      <c r="C180" s="18"/>
      <c r="D180" s="168" t="s">
        <v>34</v>
      </c>
      <c r="E180" s="46" t="s">
        <v>77</v>
      </c>
      <c r="F180" s="76">
        <v>180</v>
      </c>
      <c r="G180" s="76">
        <f>F180*2.5/150</f>
        <v>3</v>
      </c>
      <c r="H180" s="76">
        <f>F180*4/150</f>
        <v>4.8</v>
      </c>
      <c r="I180" s="76">
        <f>F180*24.6/150</f>
        <v>29.52</v>
      </c>
      <c r="J180" s="76">
        <f>F180*144/150</f>
        <v>172.8</v>
      </c>
      <c r="K180" s="183" t="s">
        <v>78</v>
      </c>
      <c r="L180" s="41">
        <v>16.55</v>
      </c>
    </row>
    <row r="181" spans="1:12" ht="15.75">
      <c r="A181" s="16"/>
      <c r="B181" s="17"/>
      <c r="C181" s="18"/>
      <c r="D181" s="168" t="s">
        <v>96</v>
      </c>
      <c r="E181" s="19" t="s">
        <v>46</v>
      </c>
      <c r="F181" s="76">
        <v>200</v>
      </c>
      <c r="G181" s="76">
        <v>1</v>
      </c>
      <c r="H181" s="76">
        <v>0.1</v>
      </c>
      <c r="I181" s="76">
        <v>19.8</v>
      </c>
      <c r="J181" s="76">
        <v>84.1</v>
      </c>
      <c r="K181" s="183" t="s">
        <v>79</v>
      </c>
      <c r="L181" s="41">
        <v>6.75</v>
      </c>
    </row>
    <row r="182" spans="1:12" ht="15.75">
      <c r="A182" s="16"/>
      <c r="B182" s="17"/>
      <c r="C182" s="18"/>
      <c r="D182" s="168" t="s">
        <v>37</v>
      </c>
      <c r="E182" s="21" t="s">
        <v>38</v>
      </c>
      <c r="F182" s="20">
        <v>50</v>
      </c>
      <c r="G182" s="20">
        <f>SUM(F182*2.37/30)</f>
        <v>3.95</v>
      </c>
      <c r="H182" s="20">
        <f>SUM(F182*0.3/30)</f>
        <v>0.5</v>
      </c>
      <c r="I182" s="20">
        <f>SUM(F182*14.49/30)</f>
        <v>24.15</v>
      </c>
      <c r="J182" s="20">
        <f>SUM(F182*70.14/30)</f>
        <v>116.9</v>
      </c>
      <c r="K182" s="190" t="s">
        <v>27</v>
      </c>
      <c r="L182" s="41">
        <v>6.4</v>
      </c>
    </row>
    <row r="183" spans="1:12" ht="15.75">
      <c r="A183" s="16"/>
      <c r="B183" s="17"/>
      <c r="C183" s="18"/>
      <c r="D183" s="168" t="s">
        <v>39</v>
      </c>
      <c r="E183" s="32" t="s">
        <v>157</v>
      </c>
      <c r="F183" s="20">
        <v>48</v>
      </c>
      <c r="G183" s="20">
        <f>SUM(F183*1.68/30)</f>
        <v>2.6880000000000002</v>
      </c>
      <c r="H183" s="20">
        <f>SUM(F183*0.33/30)</f>
        <v>0.52800000000000002</v>
      </c>
      <c r="I183" s="20">
        <f>SUM(F183*14.82/30)</f>
        <v>23.712</v>
      </c>
      <c r="J183" s="20">
        <f>SUM(F183*68.97/30)</f>
        <v>110.352</v>
      </c>
      <c r="K183" s="190" t="s">
        <v>41</v>
      </c>
      <c r="L183" s="41">
        <v>5.68</v>
      </c>
    </row>
    <row r="184" spans="1:12" ht="15.75">
      <c r="A184" s="16"/>
      <c r="B184" s="17"/>
      <c r="C184" s="18"/>
      <c r="D184" s="77"/>
      <c r="E184" s="161"/>
      <c r="F184" s="158"/>
      <c r="G184" s="73"/>
      <c r="H184" s="73"/>
      <c r="I184" s="73"/>
      <c r="J184" s="73"/>
      <c r="K184" s="181"/>
      <c r="L184" s="41"/>
    </row>
    <row r="185" spans="1:12" ht="15.75">
      <c r="A185" s="16"/>
      <c r="B185" s="17"/>
      <c r="C185" s="18"/>
      <c r="D185" s="77"/>
      <c r="E185" s="161"/>
      <c r="F185" s="158"/>
      <c r="G185" s="73"/>
      <c r="H185" s="73"/>
      <c r="I185" s="73"/>
      <c r="J185" s="73"/>
      <c r="K185" s="181"/>
      <c r="L185" s="41"/>
    </row>
    <row r="186" spans="1:12" ht="15.75">
      <c r="A186" s="203"/>
      <c r="B186" s="204"/>
      <c r="C186" s="205"/>
      <c r="D186" s="206" t="s">
        <v>29</v>
      </c>
      <c r="E186" s="207"/>
      <c r="F186" s="208">
        <f>SUM(F177:F185)</f>
        <v>928</v>
      </c>
      <c r="G186" s="208">
        <f>SUM(G177:G185)</f>
        <v>31.415777777777777</v>
      </c>
      <c r="H186" s="208">
        <f>SUM(H177:H185)</f>
        <v>33.894666666666666</v>
      </c>
      <c r="I186" s="208">
        <f>SUM(I177:I185)</f>
        <v>133.88199999999998</v>
      </c>
      <c r="J186" s="208">
        <f>SUM(J177:J185)</f>
        <v>966.82977777777785</v>
      </c>
      <c r="K186" s="233"/>
      <c r="L186" s="208">
        <f>SUM(L177:L185)</f>
        <v>147.82000000000002</v>
      </c>
    </row>
    <row r="187" spans="1:12" ht="15">
      <c r="A187" s="239">
        <v>2</v>
      </c>
      <c r="B187" s="240">
        <v>5</v>
      </c>
      <c r="C187" s="253" t="s">
        <v>40</v>
      </c>
      <c r="D187" s="254"/>
      <c r="E187" s="213"/>
      <c r="F187" s="214">
        <f>F176+F186</f>
        <v>1553</v>
      </c>
      <c r="G187" s="214">
        <f>G176+G186</f>
        <v>61.035777777777781</v>
      </c>
      <c r="H187" s="214">
        <f>H176+H186</f>
        <v>59.839666666666673</v>
      </c>
      <c r="I187" s="214">
        <f>I176+I186</f>
        <v>238.47199999999998</v>
      </c>
      <c r="J187" s="214">
        <f>J176+J186</f>
        <v>1737.414777777778</v>
      </c>
      <c r="K187" s="241"/>
      <c r="L187" s="214">
        <f>L176+L186</f>
        <v>295.64</v>
      </c>
    </row>
    <row r="188" spans="1:12">
      <c r="A188" s="53"/>
      <c r="B188" s="54"/>
      <c r="C188" s="255" t="s">
        <v>80</v>
      </c>
      <c r="D188" s="255"/>
      <c r="E188" s="255"/>
      <c r="F188" s="55">
        <f>(F23+F40+F59+F78+F96+F114+F132+F151+F169+F187)/(IF(F23=0,0,1)+IF(F40=0,0,1)+IF(F59=0,0,1)+IF(F78=0,0,1)+IF(F96=0,0,1)+IF(F114=0,0,1)+IF(F132=0,0,1)+IF(F151=0,0,1)+IF(F169=0,0,1)+IF(F187=0,0,1))</f>
        <v>1591.9</v>
      </c>
      <c r="G188" s="55">
        <f t="shared" ref="G188:L188" si="61">(G23+G40+G59+G78+G96+G114+G132+G151+G169+G187)/(IF(G23=0,0,1)+IF(G40=0,0,1)+IF(G59=0,0,1)+IF(G78=0,0,1)+IF(G96=0,0,1)+IF(G114=0,0,1)+IF(G132=0,0,1)+IF(G151=0,0,1)+IF(G169=0,0,1)+IF(G187=0,0,1))</f>
        <v>65.942053418803411</v>
      </c>
      <c r="H188" s="55">
        <f t="shared" si="61"/>
        <v>63.853470085470079</v>
      </c>
      <c r="I188" s="55">
        <f t="shared" si="61"/>
        <v>245.20733119658126</v>
      </c>
      <c r="J188" s="55">
        <f t="shared" si="61"/>
        <v>1820.967462207358</v>
      </c>
      <c r="K188" s="195"/>
      <c r="L188" s="55">
        <f t="shared" si="61"/>
        <v>295.63999999999993</v>
      </c>
    </row>
    <row r="189" spans="1:12">
      <c r="K189" s="196"/>
    </row>
    <row r="190" spans="1:12">
      <c r="K190" s="196"/>
    </row>
    <row r="191" spans="1:12">
      <c r="K191" s="196"/>
    </row>
    <row r="192" spans="1:12">
      <c r="K192" s="196"/>
    </row>
    <row r="193" spans="5:13">
      <c r="K193" s="196"/>
    </row>
    <row r="194" spans="5:13">
      <c r="K194" s="196"/>
    </row>
    <row r="195" spans="5:13">
      <c r="K195" s="196"/>
    </row>
    <row r="196" spans="5:13">
      <c r="K196" s="196"/>
    </row>
    <row r="197" spans="5:13">
      <c r="K197" s="196"/>
    </row>
    <row r="198" spans="5:13">
      <c r="K198" s="196"/>
    </row>
    <row r="199" spans="5:13">
      <c r="E199" s="60"/>
      <c r="F199" s="60"/>
      <c r="G199" s="60"/>
      <c r="H199" s="60"/>
      <c r="I199" s="60"/>
      <c r="J199" s="60"/>
      <c r="K199" s="197"/>
      <c r="L199" s="60"/>
      <c r="M199" s="60"/>
    </row>
    <row r="200" spans="5:13" ht="15.75">
      <c r="E200" s="61"/>
      <c r="F200" s="62"/>
      <c r="G200" s="63"/>
      <c r="H200" s="63"/>
      <c r="I200" s="63"/>
      <c r="J200" s="63"/>
      <c r="K200" s="198"/>
      <c r="L200" s="64"/>
      <c r="M200" s="65"/>
    </row>
    <row r="201" spans="5:13" ht="15.75">
      <c r="E201" s="66"/>
      <c r="F201" s="67"/>
      <c r="G201" s="68"/>
      <c r="H201" s="68"/>
      <c r="I201" s="68"/>
      <c r="J201" s="68"/>
      <c r="K201" s="198"/>
      <c r="L201" s="64"/>
      <c r="M201" s="65"/>
    </row>
    <row r="202" spans="5:13" ht="15.75">
      <c r="E202" s="69"/>
      <c r="F202" s="63"/>
      <c r="G202" s="63"/>
      <c r="H202" s="63"/>
      <c r="I202" s="63"/>
      <c r="J202" s="63"/>
      <c r="K202" s="199"/>
      <c r="L202" s="60"/>
      <c r="M202" s="60"/>
    </row>
    <row r="203" spans="5:13" ht="15.75">
      <c r="E203" s="69"/>
      <c r="F203" s="63"/>
      <c r="G203" s="63"/>
      <c r="H203" s="63"/>
      <c r="I203" s="63"/>
      <c r="J203" s="63"/>
      <c r="K203" s="199"/>
      <c r="L203" s="60"/>
      <c r="M203" s="60"/>
    </row>
    <row r="204" spans="5:13" ht="15.75">
      <c r="E204" s="69"/>
      <c r="F204" s="63"/>
      <c r="G204" s="63"/>
      <c r="H204" s="63"/>
      <c r="I204" s="63"/>
      <c r="J204" s="63"/>
      <c r="K204" s="199"/>
      <c r="L204" s="60"/>
      <c r="M204" s="60"/>
    </row>
    <row r="205" spans="5:13" ht="15.75">
      <c r="E205" s="67"/>
      <c r="F205" s="63"/>
      <c r="G205" s="63"/>
      <c r="H205" s="63"/>
      <c r="I205" s="63"/>
      <c r="J205" s="63"/>
      <c r="K205" s="199"/>
      <c r="L205" s="60"/>
      <c r="M205" s="60"/>
    </row>
    <row r="206" spans="5:13" ht="15.75">
      <c r="E206" s="70"/>
      <c r="F206" s="71"/>
      <c r="G206" s="68"/>
      <c r="H206" s="68"/>
      <c r="I206" s="68"/>
      <c r="J206" s="68"/>
      <c r="K206" s="197"/>
      <c r="L206" s="60"/>
      <c r="M206" s="60"/>
    </row>
    <row r="207" spans="5:13" ht="15.75">
      <c r="E207" s="67"/>
      <c r="F207" s="68"/>
      <c r="G207" s="63"/>
      <c r="H207" s="63"/>
      <c r="I207" s="63"/>
      <c r="J207" s="63"/>
      <c r="K207" s="200"/>
      <c r="L207" s="60"/>
      <c r="M207" s="60"/>
    </row>
    <row r="208" spans="5:13" ht="15.75">
      <c r="E208" s="69"/>
      <c r="F208" s="63"/>
      <c r="G208" s="68"/>
      <c r="H208" s="68"/>
      <c r="I208" s="68"/>
      <c r="J208" s="68"/>
      <c r="K208" s="200"/>
      <c r="L208" s="60"/>
      <c r="M208" s="60"/>
    </row>
    <row r="209" spans="5:13" ht="15.75">
      <c r="E209" s="69"/>
      <c r="F209" s="63"/>
      <c r="G209" s="68"/>
      <c r="H209" s="68"/>
      <c r="I209" s="68"/>
      <c r="J209" s="68"/>
      <c r="K209" s="200"/>
      <c r="L209" s="60"/>
      <c r="M209" s="60"/>
    </row>
    <row r="210" spans="5:13" ht="15.75">
      <c r="E210" s="67"/>
      <c r="F210" s="63"/>
      <c r="G210" s="63"/>
      <c r="H210" s="63"/>
      <c r="I210" s="63"/>
      <c r="J210" s="68"/>
      <c r="K210" s="200"/>
      <c r="L210" s="60"/>
      <c r="M210" s="60"/>
    </row>
    <row r="211" spans="5:13" ht="15.75">
      <c r="E211" s="67"/>
      <c r="F211" s="63"/>
      <c r="G211" s="63"/>
      <c r="H211" s="63"/>
      <c r="I211" s="63"/>
      <c r="J211" s="63"/>
      <c r="K211" s="200"/>
      <c r="L211" s="60"/>
      <c r="M211" s="60"/>
    </row>
    <row r="212" spans="5:13" ht="15.75">
      <c r="E212" s="72"/>
      <c r="F212" s="63"/>
      <c r="G212" s="63"/>
      <c r="H212" s="63"/>
      <c r="I212" s="63"/>
      <c r="J212" s="63"/>
      <c r="K212" s="201"/>
      <c r="L212" s="60"/>
      <c r="M212" s="60"/>
    </row>
    <row r="213" spans="5:13" ht="15.75">
      <c r="E213" s="72"/>
      <c r="F213" s="63"/>
      <c r="G213" s="63"/>
      <c r="H213" s="63"/>
      <c r="I213" s="63"/>
      <c r="J213" s="63"/>
      <c r="K213" s="200"/>
      <c r="L213" s="60"/>
      <c r="M213" s="60"/>
    </row>
    <row r="214" spans="5:13" ht="15.75">
      <c r="E214" s="67"/>
      <c r="F214" s="68"/>
      <c r="G214" s="68"/>
      <c r="H214" s="68"/>
      <c r="I214" s="68"/>
      <c r="J214" s="68"/>
      <c r="K214" s="202"/>
      <c r="L214" s="60"/>
      <c r="M214" s="60"/>
    </row>
    <row r="215" spans="5:13">
      <c r="E215" s="60"/>
      <c r="F215" s="60"/>
      <c r="G215" s="60"/>
      <c r="H215" s="60"/>
      <c r="I215" s="60"/>
      <c r="J215" s="60"/>
      <c r="K215" s="197"/>
      <c r="L215" s="60"/>
      <c r="M215" s="60"/>
    </row>
    <row r="216" spans="5:13">
      <c r="E216" s="60"/>
      <c r="F216" s="60"/>
      <c r="G216" s="60"/>
      <c r="H216" s="60"/>
      <c r="I216" s="60"/>
      <c r="J216" s="60"/>
      <c r="K216" s="197"/>
      <c r="L216" s="60"/>
      <c r="M216" s="60"/>
    </row>
  </sheetData>
  <mergeCells count="14">
    <mergeCell ref="C151:D151"/>
    <mergeCell ref="C169:D169"/>
    <mergeCell ref="C187:D187"/>
    <mergeCell ref="C188:E188"/>
    <mergeCell ref="C59:D59"/>
    <mergeCell ref="C78:D78"/>
    <mergeCell ref="C96:D96"/>
    <mergeCell ref="C114:D114"/>
    <mergeCell ref="C132:D132"/>
    <mergeCell ref="C1:E1"/>
    <mergeCell ref="H1:K1"/>
    <mergeCell ref="H2:K2"/>
    <mergeCell ref="C23:D23"/>
    <mergeCell ref="C40:D40"/>
  </mergeCells>
  <pageMargins left="0.70866141732283505" right="0.70866141732283505" top="0.74803149606299202" bottom="0.74803149606299202" header="0.31496062992126" footer="0.31496062992126"/>
  <pageSetup paperSize="9" scale="98" orientation="landscape" r:id="rId1"/>
  <rowBreaks count="6" manualBreakCount="6">
    <brk id="40" max="16383" man="1"/>
    <brk id="59" max="16383" man="1"/>
    <brk id="78" max="16383" man="1"/>
    <brk id="96" max="16383" man="1"/>
    <brk id="114" max="16383" man="1"/>
    <brk id="132" max="16383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2025-08-29T09:30:38Z</cp:lastPrinted>
  <dcterms:created xsi:type="dcterms:W3CDTF">2022-05-16T14:23:00Z</dcterms:created>
  <dcterms:modified xsi:type="dcterms:W3CDTF">2025-09-02T03:27:47Z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FD5DB6AEB7FF47B2ADB021C9F41787CB_12</vt:lpwstr>
  </property>
  <property fmtid="{D5CDD505-2E9C-101B-9397-08002B2CF9AE}" pid="3" name="KSOProductBuildVer">
    <vt:lpwstr>1049-12.2.0.17152</vt:lpwstr>
  </property>
</Properties>
</file>