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77" i="1" l="1"/>
  <c r="I177" i="1"/>
  <c r="H177" i="1"/>
  <c r="G177" i="1"/>
  <c r="J159" i="1"/>
  <c r="I159" i="1"/>
  <c r="H159" i="1"/>
  <c r="G159" i="1"/>
  <c r="H135" i="1"/>
  <c r="J89" i="1"/>
  <c r="I89" i="1"/>
  <c r="G89" i="1"/>
  <c r="J49" i="1"/>
  <c r="I49" i="1"/>
  <c r="H49" i="1"/>
  <c r="G49" i="1"/>
  <c r="J180" i="1" l="1"/>
  <c r="I180" i="1"/>
  <c r="H180" i="1"/>
  <c r="G180" i="1"/>
  <c r="J179" i="1"/>
  <c r="I179" i="1"/>
  <c r="H179" i="1"/>
  <c r="G179" i="1"/>
  <c r="J172" i="1"/>
  <c r="I172" i="1"/>
  <c r="H172" i="1"/>
  <c r="G172" i="1"/>
  <c r="G164" i="1"/>
  <c r="G162" i="1"/>
  <c r="I162" i="1"/>
  <c r="J162" i="1"/>
  <c r="J144" i="1"/>
  <c r="I144" i="1"/>
  <c r="G144" i="1"/>
  <c r="J143" i="1"/>
  <c r="I143" i="1"/>
  <c r="H143" i="1"/>
  <c r="G143" i="1"/>
  <c r="J138" i="1"/>
  <c r="J136" i="1"/>
  <c r="G136" i="1"/>
  <c r="J129" i="1"/>
  <c r="I129" i="1"/>
  <c r="H129" i="1"/>
  <c r="G129" i="1"/>
  <c r="J125" i="1"/>
  <c r="I125" i="1"/>
  <c r="H125" i="1"/>
  <c r="G125" i="1"/>
  <c r="I124" i="1"/>
  <c r="J120" i="1"/>
  <c r="I120" i="1"/>
  <c r="H120" i="1"/>
  <c r="G120" i="1"/>
  <c r="J119" i="1"/>
  <c r="I119" i="1"/>
  <c r="H119" i="1"/>
  <c r="G119" i="1"/>
  <c r="J117" i="1"/>
  <c r="I117" i="1"/>
  <c r="H117" i="1"/>
  <c r="G117" i="1"/>
  <c r="J109" i="1"/>
  <c r="I109" i="1"/>
  <c r="H109" i="1"/>
  <c r="G109" i="1"/>
  <c r="J107" i="1"/>
  <c r="H107" i="1"/>
  <c r="J106" i="1"/>
  <c r="I106" i="1"/>
  <c r="H106" i="1"/>
  <c r="G106" i="1"/>
  <c r="J101" i="1"/>
  <c r="I101" i="1"/>
  <c r="H101" i="1"/>
  <c r="G101" i="1"/>
  <c r="J93" i="1"/>
  <c r="I93" i="1"/>
  <c r="H93" i="1"/>
  <c r="G93" i="1"/>
  <c r="J92" i="1"/>
  <c r="I92" i="1"/>
  <c r="H92" i="1"/>
  <c r="G92" i="1"/>
  <c r="J90" i="1"/>
  <c r="H88" i="1"/>
  <c r="G83" i="1"/>
  <c r="J82" i="1"/>
  <c r="G73" i="1"/>
  <c r="J73" i="1"/>
  <c r="J72" i="1"/>
  <c r="I72" i="1"/>
  <c r="J71" i="1"/>
  <c r="J64" i="1"/>
  <c r="I64" i="1"/>
  <c r="H64" i="1"/>
  <c r="G64" i="1"/>
  <c r="J62" i="1"/>
  <c r="I62" i="1"/>
  <c r="H62" i="1"/>
  <c r="G62" i="1"/>
  <c r="J52" i="1"/>
  <c r="I52" i="1"/>
  <c r="G52" i="1"/>
  <c r="J37" i="1"/>
  <c r="I37" i="1"/>
  <c r="H37" i="1"/>
  <c r="G37" i="1"/>
  <c r="J33" i="1"/>
  <c r="I33" i="1"/>
  <c r="G33" i="1"/>
  <c r="H32" i="1"/>
  <c r="G32" i="1"/>
  <c r="J32" i="1"/>
  <c r="I32" i="1"/>
  <c r="J25" i="1"/>
  <c r="H25" i="1"/>
  <c r="J24" i="1"/>
  <c r="I24" i="1"/>
  <c r="H24" i="1"/>
  <c r="G24" i="1"/>
  <c r="I25" i="1"/>
  <c r="G25" i="1"/>
  <c r="J19" i="1"/>
  <c r="I19" i="1"/>
  <c r="H19" i="1"/>
  <c r="G19" i="1"/>
  <c r="H14" i="1"/>
  <c r="J13" i="1"/>
  <c r="I13" i="1"/>
  <c r="H13" i="1"/>
  <c r="G13" i="1"/>
  <c r="G9" i="1"/>
  <c r="J9" i="1"/>
  <c r="I9" i="1"/>
  <c r="H9" i="1"/>
  <c r="J8" i="1"/>
  <c r="I8" i="1"/>
  <c r="H8" i="1"/>
  <c r="G8" i="1"/>
  <c r="L188" i="1" l="1"/>
  <c r="F188" i="1"/>
  <c r="J185" i="1"/>
  <c r="I185" i="1"/>
  <c r="H185" i="1"/>
  <c r="G185" i="1"/>
  <c r="J184" i="1"/>
  <c r="I184" i="1"/>
  <c r="H184" i="1"/>
  <c r="G184" i="1"/>
  <c r="J182" i="1"/>
  <c r="I182" i="1"/>
  <c r="H182" i="1"/>
  <c r="G182" i="1"/>
  <c r="J181" i="1"/>
  <c r="I181" i="1"/>
  <c r="I188" i="1" s="1"/>
  <c r="H181" i="1"/>
  <c r="G181" i="1"/>
  <c r="J188" i="1"/>
  <c r="H188" i="1"/>
  <c r="G188" i="1"/>
  <c r="L178" i="1"/>
  <c r="L189" i="1" s="1"/>
  <c r="F178" i="1"/>
  <c r="F189" i="1" s="1"/>
  <c r="J176" i="1"/>
  <c r="I176" i="1"/>
  <c r="H176" i="1"/>
  <c r="G176" i="1"/>
  <c r="J175" i="1"/>
  <c r="I175" i="1"/>
  <c r="H175" i="1"/>
  <c r="G175" i="1"/>
  <c r="J173" i="1"/>
  <c r="I173" i="1"/>
  <c r="H173" i="1"/>
  <c r="G173" i="1"/>
  <c r="J178" i="1"/>
  <c r="J189" i="1" s="1"/>
  <c r="I178" i="1"/>
  <c r="H178" i="1"/>
  <c r="G178" i="1"/>
  <c r="G189" i="1" s="1"/>
  <c r="L170" i="1"/>
  <c r="F170" i="1"/>
  <c r="J167" i="1"/>
  <c r="I167" i="1"/>
  <c r="H167" i="1"/>
  <c r="G167" i="1"/>
  <c r="J166" i="1"/>
  <c r="I166" i="1"/>
  <c r="H166" i="1"/>
  <c r="G166" i="1"/>
  <c r="J164" i="1"/>
  <c r="I164" i="1"/>
  <c r="H164" i="1"/>
  <c r="J163" i="1"/>
  <c r="I163" i="1"/>
  <c r="H163" i="1"/>
  <c r="G163" i="1"/>
  <c r="H162" i="1"/>
  <c r="J161" i="1"/>
  <c r="I161" i="1"/>
  <c r="I170" i="1" s="1"/>
  <c r="I171" i="1" s="1"/>
  <c r="H161" i="1"/>
  <c r="G161" i="1"/>
  <c r="G170" i="1" s="1"/>
  <c r="L160" i="1"/>
  <c r="L171" i="1" s="1"/>
  <c r="F160" i="1"/>
  <c r="F171" i="1" s="1"/>
  <c r="J158" i="1"/>
  <c r="I158" i="1"/>
  <c r="H158" i="1"/>
  <c r="G158" i="1"/>
  <c r="J157" i="1"/>
  <c r="I157" i="1"/>
  <c r="H157" i="1"/>
  <c r="G157" i="1"/>
  <c r="J155" i="1"/>
  <c r="I155" i="1"/>
  <c r="H155" i="1"/>
  <c r="G155" i="1"/>
  <c r="J154" i="1"/>
  <c r="I154" i="1"/>
  <c r="I160" i="1" s="1"/>
  <c r="H154" i="1"/>
  <c r="G154" i="1"/>
  <c r="J160" i="1"/>
  <c r="H160" i="1"/>
  <c r="G160" i="1"/>
  <c r="G171" i="1" s="1"/>
  <c r="B153" i="1"/>
  <c r="A153" i="1"/>
  <c r="L152" i="1"/>
  <c r="F152" i="1"/>
  <c r="J149" i="1"/>
  <c r="I149" i="1"/>
  <c r="H149" i="1"/>
  <c r="G149" i="1"/>
  <c r="J148" i="1"/>
  <c r="I148" i="1"/>
  <c r="H148" i="1"/>
  <c r="G148" i="1"/>
  <c r="J146" i="1"/>
  <c r="I146" i="1"/>
  <c r="H146" i="1"/>
  <c r="G146" i="1"/>
  <c r="J145" i="1"/>
  <c r="I145" i="1"/>
  <c r="I152" i="1" s="1"/>
  <c r="H145" i="1"/>
  <c r="G145" i="1"/>
  <c r="G152" i="1" s="1"/>
  <c r="H144" i="1"/>
  <c r="J152" i="1"/>
  <c r="H152" i="1"/>
  <c r="B143" i="1"/>
  <c r="A143" i="1"/>
  <c r="L142" i="1"/>
  <c r="F142" i="1"/>
  <c r="J139" i="1"/>
  <c r="I139" i="1"/>
  <c r="H139" i="1"/>
  <c r="G139" i="1"/>
  <c r="I138" i="1"/>
  <c r="H138" i="1"/>
  <c r="G138" i="1"/>
  <c r="I136" i="1"/>
  <c r="H136" i="1"/>
  <c r="H142" i="1" s="1"/>
  <c r="J135" i="1"/>
  <c r="I135" i="1"/>
  <c r="G135" i="1"/>
  <c r="B134" i="1"/>
  <c r="A134" i="1"/>
  <c r="L133" i="1"/>
  <c r="F133" i="1"/>
  <c r="J130" i="1"/>
  <c r="I130" i="1"/>
  <c r="H130" i="1"/>
  <c r="G130" i="1"/>
  <c r="J127" i="1"/>
  <c r="I127" i="1"/>
  <c r="H127" i="1"/>
  <c r="G127" i="1"/>
  <c r="J126" i="1"/>
  <c r="I126" i="1"/>
  <c r="H126" i="1"/>
  <c r="G126" i="1"/>
  <c r="J124" i="1"/>
  <c r="J133" i="1" s="1"/>
  <c r="I133" i="1"/>
  <c r="H124" i="1"/>
  <c r="H133" i="1" s="1"/>
  <c r="G124" i="1"/>
  <c r="G133" i="1" s="1"/>
  <c r="B124" i="1"/>
  <c r="A124" i="1"/>
  <c r="L123" i="1"/>
  <c r="L134" i="1" s="1"/>
  <c r="F123" i="1"/>
  <c r="F134" i="1" s="1"/>
  <c r="J123" i="1"/>
  <c r="I123" i="1"/>
  <c r="I134" i="1" s="1"/>
  <c r="H123" i="1"/>
  <c r="G123" i="1"/>
  <c r="G134" i="1" s="1"/>
  <c r="B116" i="1"/>
  <c r="A116" i="1"/>
  <c r="L115" i="1"/>
  <c r="F115" i="1"/>
  <c r="J112" i="1"/>
  <c r="I112" i="1"/>
  <c r="H112" i="1"/>
  <c r="G112" i="1"/>
  <c r="J111" i="1"/>
  <c r="I111" i="1"/>
  <c r="H111" i="1"/>
  <c r="G111" i="1"/>
  <c r="J108" i="1"/>
  <c r="I108" i="1"/>
  <c r="H108" i="1"/>
  <c r="G108" i="1"/>
  <c r="I107" i="1"/>
  <c r="G107" i="1"/>
  <c r="B106" i="1"/>
  <c r="A106" i="1"/>
  <c r="L105" i="1"/>
  <c r="L116" i="1" s="1"/>
  <c r="F105" i="1"/>
  <c r="J103" i="1"/>
  <c r="I103" i="1"/>
  <c r="H103" i="1"/>
  <c r="G103" i="1"/>
  <c r="J102" i="1"/>
  <c r="I102" i="1"/>
  <c r="H102" i="1"/>
  <c r="G102" i="1"/>
  <c r="J99" i="1"/>
  <c r="I99" i="1"/>
  <c r="I105" i="1" s="1"/>
  <c r="H99" i="1"/>
  <c r="H105" i="1" s="1"/>
  <c r="G99" i="1"/>
  <c r="B98" i="1"/>
  <c r="A98" i="1"/>
  <c r="L97" i="1"/>
  <c r="F97" i="1"/>
  <c r="I90" i="1"/>
  <c r="H90" i="1"/>
  <c r="G90" i="1"/>
  <c r="H89" i="1"/>
  <c r="H97" i="1" s="1"/>
  <c r="J88" i="1"/>
  <c r="J97" i="1" s="1"/>
  <c r="I88" i="1"/>
  <c r="G88" i="1"/>
  <c r="G97" i="1" s="1"/>
  <c r="B88" i="1"/>
  <c r="A88" i="1"/>
  <c r="L87" i="1"/>
  <c r="F87" i="1"/>
  <c r="J86" i="1"/>
  <c r="I86" i="1"/>
  <c r="H86" i="1"/>
  <c r="G86" i="1"/>
  <c r="J85" i="1"/>
  <c r="I85" i="1"/>
  <c r="H85" i="1"/>
  <c r="G85" i="1"/>
  <c r="J83" i="1"/>
  <c r="J87" i="1" s="1"/>
  <c r="I83" i="1"/>
  <c r="H83" i="1"/>
  <c r="I82" i="1"/>
  <c r="I87" i="1" s="1"/>
  <c r="H82" i="1"/>
  <c r="G82" i="1"/>
  <c r="B80" i="1"/>
  <c r="A80" i="1"/>
  <c r="L79" i="1"/>
  <c r="F79" i="1"/>
  <c r="J76" i="1"/>
  <c r="I76" i="1"/>
  <c r="H76" i="1"/>
  <c r="G76" i="1"/>
  <c r="J75" i="1"/>
  <c r="I75" i="1"/>
  <c r="H75" i="1"/>
  <c r="G75" i="1"/>
  <c r="I73" i="1"/>
  <c r="H73" i="1"/>
  <c r="H72" i="1"/>
  <c r="G72" i="1"/>
  <c r="I71" i="1"/>
  <c r="H71" i="1"/>
  <c r="G71" i="1"/>
  <c r="J70" i="1"/>
  <c r="I70" i="1"/>
  <c r="H70" i="1"/>
  <c r="G70" i="1"/>
  <c r="B70" i="1"/>
  <c r="A70" i="1"/>
  <c r="L69" i="1"/>
  <c r="F69" i="1"/>
  <c r="J65" i="1"/>
  <c r="J69" i="1" s="1"/>
  <c r="I65" i="1"/>
  <c r="I69" i="1" s="1"/>
  <c r="H65" i="1"/>
  <c r="H69" i="1" s="1"/>
  <c r="G65" i="1"/>
  <c r="G69" i="1" s="1"/>
  <c r="B61" i="1"/>
  <c r="A61" i="1"/>
  <c r="L60" i="1"/>
  <c r="F60" i="1"/>
  <c r="J57" i="1"/>
  <c r="I57" i="1"/>
  <c r="H57" i="1"/>
  <c r="G57" i="1"/>
  <c r="J56" i="1"/>
  <c r="I56" i="1"/>
  <c r="H56" i="1"/>
  <c r="G56" i="1"/>
  <c r="J54" i="1"/>
  <c r="I54" i="1"/>
  <c r="H54" i="1"/>
  <c r="G54" i="1"/>
  <c r="J53" i="1"/>
  <c r="I53" i="1"/>
  <c r="H53" i="1"/>
  <c r="G53" i="1"/>
  <c r="H52" i="1"/>
  <c r="J51" i="1"/>
  <c r="I51" i="1"/>
  <c r="H51" i="1"/>
  <c r="G51" i="1"/>
  <c r="B51" i="1"/>
  <c r="A51" i="1"/>
  <c r="L50" i="1"/>
  <c r="F50" i="1"/>
  <c r="J48" i="1"/>
  <c r="I48" i="1"/>
  <c r="H48" i="1"/>
  <c r="G48" i="1"/>
  <c r="J47" i="1"/>
  <c r="I47" i="1"/>
  <c r="H47" i="1"/>
  <c r="G47" i="1"/>
  <c r="J45" i="1"/>
  <c r="I45" i="1"/>
  <c r="H45" i="1"/>
  <c r="G45" i="1"/>
  <c r="J44" i="1"/>
  <c r="J50" i="1" s="1"/>
  <c r="I44" i="1"/>
  <c r="I50" i="1" s="1"/>
  <c r="H44" i="1"/>
  <c r="H50" i="1" s="1"/>
  <c r="G44" i="1"/>
  <c r="G50" i="1" s="1"/>
  <c r="B42" i="1"/>
  <c r="A42" i="1"/>
  <c r="L41" i="1"/>
  <c r="F41" i="1"/>
  <c r="J38" i="1"/>
  <c r="I38" i="1"/>
  <c r="H38" i="1"/>
  <c r="G38" i="1"/>
  <c r="J35" i="1"/>
  <c r="I35" i="1"/>
  <c r="H35" i="1"/>
  <c r="G35" i="1"/>
  <c r="J34" i="1"/>
  <c r="J41" i="1" s="1"/>
  <c r="I34" i="1"/>
  <c r="H34" i="1"/>
  <c r="G34" i="1"/>
  <c r="H33" i="1"/>
  <c r="H41" i="1" s="1"/>
  <c r="G41" i="1"/>
  <c r="B32" i="1"/>
  <c r="A32" i="1"/>
  <c r="L31" i="1"/>
  <c r="F31" i="1"/>
  <c r="F42" i="1" s="1"/>
  <c r="J28" i="1"/>
  <c r="I28" i="1"/>
  <c r="H28" i="1"/>
  <c r="G28" i="1"/>
  <c r="J27" i="1"/>
  <c r="I27" i="1"/>
  <c r="H27" i="1"/>
  <c r="G27" i="1"/>
  <c r="J31" i="1"/>
  <c r="I31" i="1"/>
  <c r="H31" i="1"/>
  <c r="G31" i="1"/>
  <c r="B23" i="1"/>
  <c r="A23" i="1"/>
  <c r="L22" i="1"/>
  <c r="F22" i="1"/>
  <c r="J18" i="1"/>
  <c r="I18" i="1"/>
  <c r="H18" i="1"/>
  <c r="G18" i="1"/>
  <c r="J16" i="1"/>
  <c r="I16" i="1"/>
  <c r="H16" i="1"/>
  <c r="G16" i="1"/>
  <c r="J15" i="1"/>
  <c r="I15" i="1"/>
  <c r="H15" i="1"/>
  <c r="H22" i="1" s="1"/>
  <c r="G15" i="1"/>
  <c r="J14" i="1"/>
  <c r="J22" i="1" s="1"/>
  <c r="I14" i="1"/>
  <c r="I22" i="1" s="1"/>
  <c r="G14" i="1"/>
  <c r="B13" i="1"/>
  <c r="A13" i="1"/>
  <c r="L12" i="1"/>
  <c r="F12" i="1"/>
  <c r="J10" i="1"/>
  <c r="I10" i="1"/>
  <c r="H10" i="1"/>
  <c r="G10" i="1"/>
  <c r="J6" i="1"/>
  <c r="I6" i="1"/>
  <c r="I12" i="1" s="1"/>
  <c r="H6" i="1"/>
  <c r="H12" i="1" s="1"/>
  <c r="G6" i="1"/>
  <c r="G87" i="1" l="1"/>
  <c r="G98" i="1" s="1"/>
  <c r="I189" i="1"/>
  <c r="G115" i="1"/>
  <c r="I41" i="1"/>
  <c r="I42" i="1" s="1"/>
  <c r="I115" i="1"/>
  <c r="G142" i="1"/>
  <c r="I142" i="1"/>
  <c r="I153" i="1" s="1"/>
  <c r="H170" i="1"/>
  <c r="J170" i="1"/>
  <c r="J171" i="1" s="1"/>
  <c r="G12" i="1"/>
  <c r="G22" i="1"/>
  <c r="F116" i="1"/>
  <c r="H60" i="1"/>
  <c r="H61" i="1" s="1"/>
  <c r="J60" i="1"/>
  <c r="H153" i="1"/>
  <c r="J142" i="1"/>
  <c r="J153" i="1" s="1"/>
  <c r="F153" i="1"/>
  <c r="L153" i="1"/>
  <c r="G153" i="1"/>
  <c r="J105" i="1"/>
  <c r="J116" i="1" s="1"/>
  <c r="H115" i="1"/>
  <c r="H116" i="1" s="1"/>
  <c r="J115" i="1"/>
  <c r="J134" i="1"/>
  <c r="J12" i="1"/>
  <c r="J23" i="1" s="1"/>
  <c r="F80" i="1"/>
  <c r="G79" i="1"/>
  <c r="G80" i="1" s="1"/>
  <c r="I79" i="1"/>
  <c r="I80" i="1" s="1"/>
  <c r="G105" i="1"/>
  <c r="G116" i="1" s="1"/>
  <c r="I116" i="1"/>
  <c r="H134" i="1"/>
  <c r="H171" i="1"/>
  <c r="H189" i="1"/>
  <c r="J61" i="1"/>
  <c r="H79" i="1"/>
  <c r="H80" i="1" s="1"/>
  <c r="J79" i="1"/>
  <c r="J80" i="1" s="1"/>
  <c r="F61" i="1"/>
  <c r="G60" i="1"/>
  <c r="G61" i="1" s="1"/>
  <c r="I60" i="1"/>
  <c r="I61" i="1" s="1"/>
  <c r="L80" i="1"/>
  <c r="H87" i="1"/>
  <c r="H98" i="1" s="1"/>
  <c r="L98" i="1"/>
  <c r="F98" i="1"/>
  <c r="I97" i="1"/>
  <c r="I98" i="1" s="1"/>
  <c r="J98" i="1"/>
  <c r="L61" i="1"/>
  <c r="L42" i="1"/>
  <c r="G42" i="1"/>
  <c r="H42" i="1"/>
  <c r="J42" i="1"/>
  <c r="L23" i="1"/>
  <c r="F23" i="1"/>
  <c r="H23" i="1"/>
  <c r="I23" i="1"/>
  <c r="F190" i="1" l="1"/>
  <c r="G23" i="1"/>
  <c r="G190" i="1" s="1"/>
  <c r="I190" i="1"/>
  <c r="L190" i="1"/>
  <c r="J190" i="1"/>
  <c r="H190" i="1"/>
</calcChain>
</file>

<file path=xl/sharedStrings.xml><?xml version="1.0" encoding="utf-8"?>
<sst xmlns="http://schemas.openxmlformats.org/spreadsheetml/2006/main" count="393" uniqueCount="144">
  <si>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</si>
  <si>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</si>
  <si>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</si>
  <si>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</si>
  <si>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</si>
  <si>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</si>
  <si>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</si>
  <si>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</si>
  <si>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</si>
  <si>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</si>
  <si>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</si>
  <si>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</si>
  <si>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</si>
  <si>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</si>
  <si>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</si>
  <si>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</si>
  <si>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</si>
  <si>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</si>
  <si>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</si>
  <si>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</si>
  <si>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</si>
  <si>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</si>
  <si>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</si>
  <si>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</si>
  <si>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</si>
  <si>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молочная рисовая с маслом сливочным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</si>
  <si>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</si>
  <si>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</si>
  <si>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</si>
  <si>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</si>
  <si>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</si>
  <si>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</si>
  <si>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Фрукт</t>
  </si>
  <si>
    <t>Яблоко</t>
  </si>
  <si>
    <t>итого</t>
  </si>
  <si>
    <t>Обед</t>
  </si>
  <si>
    <t>закуска</t>
  </si>
  <si>
    <t>1 блюдо</t>
  </si>
  <si>
    <t>Суп картофельный с бобовыми и мясом</t>
  </si>
  <si>
    <t>2 блюдо</t>
  </si>
  <si>
    <t>Биточки из говядины паровые</t>
  </si>
  <si>
    <t>гарнир</t>
  </si>
  <si>
    <t>Макароны отварные</t>
  </si>
  <si>
    <t>напиток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</si>
  <si>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</si>
  <si>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</si>
  <si>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</si>
  <si>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</si>
  <si>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</si>
  <si>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>Чай с лимоном</t>
  </si>
  <si>
    <t xml:space="preserve">пром </t>
  </si>
  <si>
    <t>Салат из моркови с яблоками и растительным маслом</t>
  </si>
  <si>
    <t>Борщ из капусты с картофелем, сметаной и зеленью</t>
  </si>
  <si>
    <t xml:space="preserve">Котлета из кур </t>
  </si>
  <si>
    <t>Рис, припушенный с овощами</t>
  </si>
  <si>
    <t>Напиток "Золотой шар"</t>
  </si>
  <si>
    <t>37.2</t>
  </si>
  <si>
    <t>Голень или бедро птицы отварное</t>
  </si>
  <si>
    <t>Компот из сухофруктов</t>
  </si>
  <si>
    <t>Салат из белокачанной капусты с морковью и растительным маслом</t>
  </si>
  <si>
    <t>Суп-лапша на куринном бульоне с зеленью</t>
  </si>
  <si>
    <t>22.2</t>
  </si>
  <si>
    <t>Котлета мясная паровая</t>
  </si>
  <si>
    <t>Каша гречневая рассыпчатая</t>
  </si>
  <si>
    <t>Кисель из ягод</t>
  </si>
  <si>
    <t>Омлет натуральный</t>
  </si>
  <si>
    <t>Чай с сахаром</t>
  </si>
  <si>
    <t>27.10</t>
  </si>
  <si>
    <t>хлеб черн</t>
  </si>
  <si>
    <t>Салат из огурцов и помидоров с маслом растительным и зеленью</t>
  </si>
  <si>
    <t>21/1</t>
  </si>
  <si>
    <t xml:space="preserve">Суп картофельный с рыбной консервой </t>
  </si>
  <si>
    <t>73</t>
  </si>
  <si>
    <t>Колбаски "Витаминные"</t>
  </si>
  <si>
    <t>64</t>
  </si>
  <si>
    <t>Компот из яблок и изюма</t>
  </si>
  <si>
    <t>23</t>
  </si>
  <si>
    <t>Картофельное пюре</t>
  </si>
  <si>
    <t>Какао  на молоке</t>
  </si>
  <si>
    <t>36.10</t>
  </si>
  <si>
    <t>32.1</t>
  </si>
  <si>
    <t>Суп овощной со сметаной и зеленью</t>
  </si>
  <si>
    <t xml:space="preserve">Плов </t>
  </si>
  <si>
    <t>Напиток из шиповника</t>
  </si>
  <si>
    <t>37.10</t>
  </si>
  <si>
    <t>Каша пшеничная молочная с маслом сливочным</t>
  </si>
  <si>
    <t>32.10</t>
  </si>
  <si>
    <t>фрукт</t>
  </si>
  <si>
    <t xml:space="preserve">Суп картофельный с макаронными изделиями и мясом </t>
  </si>
  <si>
    <t>18.2</t>
  </si>
  <si>
    <t>38.3</t>
  </si>
  <si>
    <t xml:space="preserve">Компот из кураги </t>
  </si>
  <si>
    <t>Чай каркаде</t>
  </si>
  <si>
    <t>27.11</t>
  </si>
  <si>
    <t>Бутерброд с маслом</t>
  </si>
  <si>
    <t>39.3</t>
  </si>
  <si>
    <t>Компот из свежих фруктов</t>
  </si>
  <si>
    <t>Тефтели из говядины с рисом паровые</t>
  </si>
  <si>
    <t>Капуста тушеная</t>
  </si>
  <si>
    <t>Щи с капустой и картофелем со сметаной и зеленью,мясом</t>
  </si>
  <si>
    <t>Компот из ягод</t>
  </si>
  <si>
    <t xml:space="preserve">Суфле из мяса кур </t>
  </si>
  <si>
    <t>Винегрет овощной</t>
  </si>
  <si>
    <t>Тефтели рыбные  в соусе</t>
  </si>
  <si>
    <t>Мясо кур отварное в соусе</t>
  </si>
  <si>
    <t>46.3</t>
  </si>
  <si>
    <t>Суп крестьянский с крупой и сметаной,мясом и зеленью</t>
  </si>
  <si>
    <t>38.2</t>
  </si>
  <si>
    <t>Биточек мясной паровой</t>
  </si>
  <si>
    <t>16.8</t>
  </si>
  <si>
    <t>Рагу из овощей</t>
  </si>
  <si>
    <t>32/3</t>
  </si>
  <si>
    <t>44357</t>
  </si>
  <si>
    <t>Среднее значение за период:</t>
  </si>
  <si>
    <t>Гренки</t>
  </si>
  <si>
    <t>Фрукты</t>
  </si>
  <si>
    <t>Салат из свежих овощей с растительным маслом и зеленью</t>
  </si>
  <si>
    <t>90</t>
  </si>
  <si>
    <t>16.2</t>
  </si>
  <si>
    <t>Мясо, тушеное с овощами</t>
  </si>
  <si>
    <t>17/1</t>
  </si>
  <si>
    <t>29.10</t>
  </si>
  <si>
    <t>16.81</t>
  </si>
  <si>
    <t>Суфле "Рыбка"</t>
  </si>
  <si>
    <t>Салат из отварной свеклы с растительным маслом</t>
  </si>
  <si>
    <t>20.2</t>
  </si>
  <si>
    <t>Рис,отварной</t>
  </si>
  <si>
    <t>Запеканка из творога со сгущенным молоком</t>
  </si>
  <si>
    <t xml:space="preserve">хлеб </t>
  </si>
  <si>
    <t xml:space="preserve">Суп-пюре картофельный </t>
  </si>
  <si>
    <t>29/2</t>
  </si>
  <si>
    <t>Соус "Болоньезе"</t>
  </si>
  <si>
    <t>44538/1</t>
  </si>
  <si>
    <t>40/2</t>
  </si>
  <si>
    <t>Салат из св капусты с св огурцом с растител маслом и зеленью</t>
  </si>
  <si>
    <t xml:space="preserve">Рассольник с крупой,  сметаной </t>
  </si>
  <si>
    <t>35/1</t>
  </si>
  <si>
    <t>Салат из отварной свеклы с солеными огурцами и растительным маслом</t>
  </si>
  <si>
    <t>Председатель Правления ПК"СЫСЕРТСКОЕ РАЙПО"</t>
  </si>
  <si>
    <t>Шалапугина Н.В.</t>
  </si>
  <si>
    <t>Салат из свежих помидор с маслом</t>
  </si>
  <si>
    <t>Помидор свежий</t>
  </si>
  <si>
    <t>Хлеб ржано-пшеничный</t>
  </si>
  <si>
    <t xml:space="preserve">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</si>
</sst>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49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" fontId="10" fillId="0" borderId="23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4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 wrapText="1"/>
    </xf>
    <xf numFmtId="49" fontId="10" fillId="0" borderId="23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4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64" fontId="10" fillId="0" borderId="1" xfId="0" applyNumberFormat="1" applyFont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22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2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18" fillId="0" borderId="1" xfId="1" applyNumberFormat="1" applyFont="1" applyBorder="1" applyAlignment="1">
      <alignment vertical="center" wrapText="1"/>
    </xf>
    <xf numFmtId="2" fontId="18" fillId="0" borderId="1" xfId="1" applyNumberFormat="1" applyFont="1" applyBorder="1" applyAlignment="1">
      <alignment vertical="center"/>
    </xf>
    <xf numFmtId="2" fontId="18" fillId="0" borderId="1" xfId="1" applyNumberFormat="1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Border="1" applyAlignment="1">
      <alignment horizontal="left" vertical="center" wrapText="1"/>
    </xf>
    <xf numFmtId="0" fontId="19" fillId="2" borderId="22" xfId="0" applyFont="1" applyFill="1" applyBorder="1" applyAlignment="1" applyProtection="1">
      <alignment horizontal="center" vertical="top" wrapText="1"/>
      <protection locked="0"/>
    </xf>
    <xf numFmtId="2" fontId="18" fillId="0" borderId="1" xfId="0" applyNumberFormat="1" applyFont="1" applyFill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horizontal="left" vertical="center"/>
    </xf>
    <xf numFmtId="0" fontId="20" fillId="0" borderId="1" xfId="0" applyFont="1" applyBorder="1"/>
    <xf numFmtId="0" fontId="18" fillId="0" borderId="0" xfId="0" applyFont="1" applyAlignment="1">
      <alignment horizontal="left" vertical="center" wrapText="1"/>
    </xf>
    <xf numFmtId="49" fontId="21" fillId="0" borderId="23" xfId="0" applyNumberFormat="1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2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20" fillId="0" borderId="1" xfId="0" applyFont="1" applyFill="1" applyBorder="1" applyAlignment="1" applyProtection="1">
      <alignment vertical="top" wrapText="1"/>
      <protection locked="0"/>
    </xf>
    <xf numFmtId="2" fontId="2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22" xfId="0" applyFont="1" applyFill="1" applyBorder="1" applyAlignment="1" applyProtection="1">
      <alignment horizontal="center" vertical="top" wrapText="1"/>
      <protection locked="0"/>
    </xf>
    <xf numFmtId="2" fontId="22" fillId="0" borderId="1" xfId="0" applyNumberFormat="1" applyFont="1" applyFill="1" applyBorder="1" applyAlignment="1" applyProtection="1">
      <alignment horizontal="left" vertical="top" wrapText="1"/>
      <protection locked="0"/>
    </xf>
    <xf numFmtId="2" fontId="18" fillId="0" borderId="1" xfId="0" applyNumberFormat="1" applyFont="1" applyBorder="1" applyAlignment="1">
      <alignment vertical="center"/>
    </xf>
    <xf numFmtId="0" fontId="8" fillId="0" borderId="1" xfId="0" applyFont="1" applyFill="1" applyBorder="1" applyProtection="1"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3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77" sqref="E177"/>
    </sheetView>
  </sheetViews>
  <sheetFormatPr defaultRowHeight="12.75"/>
  <cols>
    <col min="1" max="1" width="4.7109375" style="1" customWidth="1"/>
    <col min="2" max="2" width="5.28515625" style="1" customWidth="1"/>
    <col min="3" max="3" width="7.7109375" style="2" customWidth="1"/>
    <col min="4" max="4" width="11.5703125" style="2" customWidth="1"/>
    <col min="5" max="5" width="42.7109375" style="1" customWidth="1"/>
    <col min="6" max="6" width="9.28515625" style="1" customWidth="1"/>
    <col min="7" max="7" width="7.85546875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.28515625" style="1" customWidth="1"/>
    <col min="12" max="12" width="9.5703125" style="1" customWidth="1"/>
    <col min="13" max="16384" width="9.140625" style="1"/>
  </cols>
  <sheetData>
    <row r="1" spans="1:12" ht="25.5" customHeight="1">
      <c r="A1" s="2" t="s">
        <v>0</v>
      </c>
      <c r="C1" s="131"/>
      <c r="D1" s="132"/>
      <c r="E1" s="132"/>
      <c r="F1" s="3" t="s">
        <v>1</v>
      </c>
      <c r="G1" s="1" t="s">
        <v>2</v>
      </c>
      <c r="H1" s="133" t="s">
        <v>138</v>
      </c>
      <c r="I1" s="134"/>
      <c r="J1" s="134"/>
      <c r="K1" s="135"/>
    </row>
    <row r="2" spans="1:12" ht="18">
      <c r="A2" s="4" t="s">
        <v>3</v>
      </c>
      <c r="C2" s="1"/>
      <c r="G2" s="1" t="s">
        <v>4</v>
      </c>
      <c r="H2" s="136" t="s">
        <v>139</v>
      </c>
      <c r="I2" s="137"/>
      <c r="J2" s="137"/>
      <c r="K2" s="13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57">
        <v>2024</v>
      </c>
      <c r="K3" s="58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4.5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9" t="s">
        <v>21</v>
      </c>
      <c r="L5" s="12" t="s">
        <v>22</v>
      </c>
    </row>
    <row r="6" spans="1:12" ht="31.5">
      <c r="A6" s="13">
        <v>1</v>
      </c>
      <c r="B6" s="14">
        <v>1</v>
      </c>
      <c r="C6" s="15" t="s">
        <v>23</v>
      </c>
      <c r="D6" s="16" t="s">
        <v>24</v>
      </c>
      <c r="E6" s="88" t="s">
        <v>25</v>
      </c>
      <c r="F6" s="17">
        <v>250</v>
      </c>
      <c r="G6" s="17">
        <f>F6*5.5/200</f>
        <v>6.875</v>
      </c>
      <c r="H6" s="17">
        <f>F6*9.9/200</f>
        <v>12.375</v>
      </c>
      <c r="I6" s="17">
        <f>F6*39.26/200</f>
        <v>49.075000000000003</v>
      </c>
      <c r="J6" s="17">
        <f>F6*268/200</f>
        <v>335</v>
      </c>
      <c r="K6" s="60">
        <v>44443</v>
      </c>
      <c r="L6" s="61">
        <v>37.880000000000003</v>
      </c>
    </row>
    <row r="7" spans="1:12" ht="15.75">
      <c r="A7" s="18"/>
      <c r="B7" s="19"/>
      <c r="C7" s="20"/>
      <c r="D7" s="24" t="s">
        <v>26</v>
      </c>
      <c r="E7" s="89" t="s">
        <v>27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62" t="s">
        <v>86</v>
      </c>
      <c r="L7" s="49">
        <v>16.66</v>
      </c>
    </row>
    <row r="8" spans="1:12" ht="15.75">
      <c r="A8" s="18"/>
      <c r="B8" s="19"/>
      <c r="C8" s="20"/>
      <c r="D8" s="24" t="s">
        <v>28</v>
      </c>
      <c r="E8" s="90" t="s">
        <v>31</v>
      </c>
      <c r="F8" s="17">
        <v>50</v>
      </c>
      <c r="G8" s="17">
        <f>F8*6.1/50</f>
        <v>6.1</v>
      </c>
      <c r="H8" s="17">
        <f>F8*3.7/50</f>
        <v>3.7</v>
      </c>
      <c r="I8" s="17">
        <f>F8*17.5/50</f>
        <v>17.5</v>
      </c>
      <c r="J8" s="17">
        <f>F8*127.7/50</f>
        <v>127.7</v>
      </c>
      <c r="K8" s="62">
        <v>44240</v>
      </c>
      <c r="L8" s="49">
        <v>27.87</v>
      </c>
    </row>
    <row r="9" spans="1:12" ht="15.75">
      <c r="A9" s="18"/>
      <c r="B9" s="19"/>
      <c r="C9" s="20"/>
      <c r="D9" s="24" t="s">
        <v>28</v>
      </c>
      <c r="E9" s="89" t="s">
        <v>142</v>
      </c>
      <c r="F9" s="27">
        <v>30</v>
      </c>
      <c r="G9" s="27">
        <f>F9*1.68/30</f>
        <v>1.68</v>
      </c>
      <c r="H9" s="27">
        <f>F9*0.33/30</f>
        <v>0.33</v>
      </c>
      <c r="I9" s="27">
        <f>F9*14.82/30</f>
        <v>14.82</v>
      </c>
      <c r="J9" s="27">
        <f>F9*68.97/30</f>
        <v>68.97</v>
      </c>
      <c r="K9" s="63" t="s">
        <v>30</v>
      </c>
      <c r="L9" s="49">
        <v>2.52</v>
      </c>
    </row>
    <row r="10" spans="1:12" ht="15.75">
      <c r="A10" s="18"/>
      <c r="B10" s="19"/>
      <c r="C10" s="20"/>
      <c r="D10" s="21" t="s">
        <v>32</v>
      </c>
      <c r="E10" s="28" t="s">
        <v>33</v>
      </c>
      <c r="F10" s="27">
        <v>130</v>
      </c>
      <c r="G10" s="27">
        <f>F10*0.4/100</f>
        <v>0.52</v>
      </c>
      <c r="H10" s="27">
        <f>F10*0.4/100</f>
        <v>0.52</v>
      </c>
      <c r="I10" s="27">
        <f>F10*10.95/100</f>
        <v>14.234999999999999</v>
      </c>
      <c r="J10" s="27">
        <f>F10*49/100</f>
        <v>63.7</v>
      </c>
      <c r="K10" s="62" t="s">
        <v>30</v>
      </c>
      <c r="L10" s="49">
        <v>31.14</v>
      </c>
    </row>
    <row r="11" spans="1:12" ht="15.7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62"/>
      <c r="L11" s="49"/>
    </row>
    <row r="12" spans="1:12" ht="15.75">
      <c r="A12" s="29"/>
      <c r="B12" s="30"/>
      <c r="C12" s="31"/>
      <c r="D12" s="32" t="s">
        <v>34</v>
      </c>
      <c r="E12" s="33"/>
      <c r="F12" s="34">
        <f>SUM(F6:F11)</f>
        <v>660</v>
      </c>
      <c r="G12" s="35">
        <f>SUM(G6:G11)</f>
        <v>18.274999999999999</v>
      </c>
      <c r="H12" s="35">
        <f>SUM(H6:H11)</f>
        <v>20.124999999999996</v>
      </c>
      <c r="I12" s="35">
        <f>SUM(I6:I11)+0.01</f>
        <v>110.03999999999999</v>
      </c>
      <c r="J12" s="35">
        <f>SUM(J6:J11)</f>
        <v>694.37000000000012</v>
      </c>
      <c r="K12" s="64"/>
      <c r="L12" s="35">
        <f>SUM(L6:L11)</f>
        <v>116.07000000000001</v>
      </c>
    </row>
    <row r="13" spans="1:12" ht="31.5">
      <c r="A13" s="36">
        <f>A6</f>
        <v>1</v>
      </c>
      <c r="B13" s="37">
        <f>B6</f>
        <v>1</v>
      </c>
      <c r="C13" s="38" t="s">
        <v>35</v>
      </c>
      <c r="D13" s="24" t="s">
        <v>36</v>
      </c>
      <c r="E13" s="28" t="s">
        <v>116</v>
      </c>
      <c r="F13" s="27">
        <v>60</v>
      </c>
      <c r="G13" s="27">
        <f>F13*0.6/60</f>
        <v>0.6</v>
      </c>
      <c r="H13" s="27">
        <f>F13*6/60</f>
        <v>6</v>
      </c>
      <c r="I13" s="27">
        <f>F13*4.76/60</f>
        <v>4.76</v>
      </c>
      <c r="J13" s="27">
        <f>F13*75.44/60</f>
        <v>75.44</v>
      </c>
      <c r="K13" s="65" t="s">
        <v>117</v>
      </c>
      <c r="L13" s="49">
        <v>13.36</v>
      </c>
    </row>
    <row r="14" spans="1:12" ht="15.75">
      <c r="A14" s="18"/>
      <c r="B14" s="19"/>
      <c r="C14" s="20"/>
      <c r="D14" s="24" t="s">
        <v>37</v>
      </c>
      <c r="E14" s="28" t="s">
        <v>38</v>
      </c>
      <c r="F14" s="17">
        <v>200</v>
      </c>
      <c r="G14" s="27">
        <f>F14*4.4/200</f>
        <v>4.4000000000000004</v>
      </c>
      <c r="H14" s="27">
        <f>F14*4.5/200</f>
        <v>4.5</v>
      </c>
      <c r="I14" s="27">
        <f>F14*16.6/200</f>
        <v>16.600000000000001</v>
      </c>
      <c r="J14" s="27">
        <f>F14*124.5/200</f>
        <v>124.5</v>
      </c>
      <c r="K14" s="91" t="s">
        <v>118</v>
      </c>
      <c r="L14" s="49">
        <v>7.71</v>
      </c>
    </row>
    <row r="15" spans="1:12" ht="15.75">
      <c r="A15" s="18"/>
      <c r="B15" s="19"/>
      <c r="C15" s="20"/>
      <c r="D15" s="24" t="s">
        <v>39</v>
      </c>
      <c r="E15" s="39" t="s">
        <v>40</v>
      </c>
      <c r="F15" s="17">
        <v>90</v>
      </c>
      <c r="G15" s="27">
        <f>F15*11.68/90</f>
        <v>11.68</v>
      </c>
      <c r="H15" s="27">
        <f>F15*11.61/90</f>
        <v>11.609999999999998</v>
      </c>
      <c r="I15" s="27">
        <f>F15*5.76/90</f>
        <v>5.76</v>
      </c>
      <c r="J15" s="27">
        <f>F15*175/90</f>
        <v>175</v>
      </c>
      <c r="K15" s="91" t="s">
        <v>109</v>
      </c>
      <c r="L15" s="49">
        <v>63.95</v>
      </c>
    </row>
    <row r="16" spans="1:12" ht="15.75">
      <c r="A16" s="18"/>
      <c r="B16" s="19"/>
      <c r="C16" s="20"/>
      <c r="D16" s="24" t="s">
        <v>41</v>
      </c>
      <c r="E16" s="40" t="s">
        <v>42</v>
      </c>
      <c r="F16" s="17">
        <v>150</v>
      </c>
      <c r="G16" s="27">
        <f>F16*5.3/150</f>
        <v>5.3</v>
      </c>
      <c r="H16" s="27">
        <f>F16*3/150</f>
        <v>3</v>
      </c>
      <c r="I16" s="27">
        <f>F16*32.4/150</f>
        <v>32.4</v>
      </c>
      <c r="J16" s="27">
        <f>F16*178/150</f>
        <v>178</v>
      </c>
      <c r="K16" s="91" t="s">
        <v>105</v>
      </c>
      <c r="L16" s="49">
        <v>9.83</v>
      </c>
    </row>
    <row r="17" spans="1:12" ht="15.75">
      <c r="A17" s="18"/>
      <c r="B17" s="19"/>
      <c r="C17" s="20"/>
      <c r="D17" s="24" t="s">
        <v>43</v>
      </c>
      <c r="E17" s="40" t="s">
        <v>44</v>
      </c>
      <c r="F17" s="17">
        <v>200</v>
      </c>
      <c r="G17" s="27">
        <v>0.4</v>
      </c>
      <c r="H17" s="27">
        <v>0.2</v>
      </c>
      <c r="I17" s="27">
        <v>16.100000000000001</v>
      </c>
      <c r="J17" s="27">
        <v>68</v>
      </c>
      <c r="K17" s="65">
        <v>44206</v>
      </c>
      <c r="L17" s="49">
        <v>14.8</v>
      </c>
    </row>
    <row r="18" spans="1:12" ht="15.75">
      <c r="A18" s="18"/>
      <c r="B18" s="19"/>
      <c r="C18" s="20"/>
      <c r="D18" s="24" t="s">
        <v>45</v>
      </c>
      <c r="E18" s="28" t="s">
        <v>46</v>
      </c>
      <c r="F18" s="27">
        <v>47</v>
      </c>
      <c r="G18" s="27">
        <f>SUM(F18*2.37/30)</f>
        <v>3.7130000000000001</v>
      </c>
      <c r="H18" s="27">
        <f>SUM(F18*0.3/30)</f>
        <v>0.47</v>
      </c>
      <c r="I18" s="27">
        <f>SUM(F18*14.49/30)</f>
        <v>22.701000000000001</v>
      </c>
      <c r="J18" s="27">
        <f>SUM(F18*70.14/30)</f>
        <v>109.886</v>
      </c>
      <c r="K18" s="65" t="s">
        <v>30</v>
      </c>
      <c r="L18" s="49">
        <v>3.95</v>
      </c>
    </row>
    <row r="19" spans="1:12" ht="15.75">
      <c r="A19" s="18"/>
      <c r="B19" s="19"/>
      <c r="C19" s="20"/>
      <c r="D19" s="24" t="s">
        <v>47</v>
      </c>
      <c r="E19" s="40" t="s">
        <v>29</v>
      </c>
      <c r="F19" s="27">
        <v>30</v>
      </c>
      <c r="G19" s="27">
        <f>F19*1.68/30</f>
        <v>1.68</v>
      </c>
      <c r="H19" s="27">
        <f>F19*0.33/30</f>
        <v>0.33</v>
      </c>
      <c r="I19" s="27">
        <f>F19*14.82/30</f>
        <v>14.82</v>
      </c>
      <c r="J19" s="27">
        <f>F19*68.97/30</f>
        <v>68.97</v>
      </c>
      <c r="K19" s="65" t="s">
        <v>30</v>
      </c>
      <c r="L19" s="49">
        <v>2.4700000000000002</v>
      </c>
    </row>
    <row r="20" spans="1:12" ht="15.7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62"/>
      <c r="L20" s="49"/>
    </row>
    <row r="21" spans="1:12" ht="15.7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62"/>
      <c r="L21" s="49"/>
    </row>
    <row r="22" spans="1:12" ht="15.75">
      <c r="A22" s="29"/>
      <c r="B22" s="30"/>
      <c r="C22" s="31"/>
      <c r="D22" s="32" t="s">
        <v>34</v>
      </c>
      <c r="E22" s="33"/>
      <c r="F22" s="34">
        <f>SUM(F13:F21)</f>
        <v>777</v>
      </c>
      <c r="G22" s="35">
        <f t="shared" ref="G22:J22" si="0">SUM(G13:G21)</f>
        <v>27.773</v>
      </c>
      <c r="H22" s="35">
        <f t="shared" si="0"/>
        <v>26.109999999999996</v>
      </c>
      <c r="I22" s="35">
        <f t="shared" si="0"/>
        <v>113.14099999999999</v>
      </c>
      <c r="J22" s="35">
        <f t="shared" si="0"/>
        <v>799.79600000000005</v>
      </c>
      <c r="K22" s="64"/>
      <c r="L22" s="35">
        <f t="shared" ref="L22" si="1">SUM(L13:L21)</f>
        <v>116.07000000000001</v>
      </c>
    </row>
    <row r="23" spans="1:12" ht="16.5" thickBot="1">
      <c r="A23" s="41">
        <f>A6</f>
        <v>1</v>
      </c>
      <c r="B23" s="42">
        <f>B6</f>
        <v>1</v>
      </c>
      <c r="C23" s="126" t="s">
        <v>48</v>
      </c>
      <c r="D23" s="127"/>
      <c r="E23" s="43"/>
      <c r="F23" s="44">
        <f>F12+F22</f>
        <v>1437</v>
      </c>
      <c r="G23" s="44">
        <f t="shared" ref="G23:J23" si="2">G12+G22</f>
        <v>46.048000000000002</v>
      </c>
      <c r="H23" s="44">
        <f t="shared" si="2"/>
        <v>46.234999999999992</v>
      </c>
      <c r="I23" s="44">
        <f t="shared" si="2"/>
        <v>223.18099999999998</v>
      </c>
      <c r="J23" s="44">
        <f t="shared" si="2"/>
        <v>1494.1660000000002</v>
      </c>
      <c r="K23" s="44"/>
      <c r="L23" s="52">
        <f t="shared" ref="L23" si="3">L12+L22</f>
        <v>232.14000000000001</v>
      </c>
    </row>
    <row r="24" spans="1:12" ht="32.25" thickBot="1">
      <c r="A24" s="45">
        <v>1</v>
      </c>
      <c r="B24" s="19">
        <v>2</v>
      </c>
      <c r="C24" s="15" t="s">
        <v>23</v>
      </c>
      <c r="D24" s="24" t="s">
        <v>36</v>
      </c>
      <c r="E24" s="28" t="s">
        <v>116</v>
      </c>
      <c r="F24" s="27">
        <v>60</v>
      </c>
      <c r="G24" s="27">
        <f>F24*0.6/60</f>
        <v>0.6</v>
      </c>
      <c r="H24" s="27">
        <f>F24*6/60</f>
        <v>6</v>
      </c>
      <c r="I24" s="27">
        <f>F24*4.76/60</f>
        <v>4.76</v>
      </c>
      <c r="J24" s="27">
        <f>F24*75.44/60</f>
        <v>75.44</v>
      </c>
      <c r="K24" s="65" t="s">
        <v>117</v>
      </c>
      <c r="L24" s="61">
        <v>12.81</v>
      </c>
    </row>
    <row r="25" spans="1:12" ht="15.75">
      <c r="A25" s="45"/>
      <c r="B25" s="19"/>
      <c r="C25" s="20"/>
      <c r="D25" s="16" t="s">
        <v>24</v>
      </c>
      <c r="E25" s="92" t="s">
        <v>119</v>
      </c>
      <c r="F25" s="27">
        <v>230</v>
      </c>
      <c r="G25" s="27">
        <f>F25*15.7/200</f>
        <v>18.055</v>
      </c>
      <c r="H25" s="27">
        <f>F25*15.7/200</f>
        <v>18.055</v>
      </c>
      <c r="I25" s="27">
        <f>F25*19.8/200</f>
        <v>22.77</v>
      </c>
      <c r="J25" s="27">
        <f>F25*254.97/180</f>
        <v>325.79500000000002</v>
      </c>
      <c r="K25" s="67">
        <v>44263</v>
      </c>
      <c r="L25" s="49">
        <v>90.71</v>
      </c>
    </row>
    <row r="26" spans="1:12" ht="15.75">
      <c r="A26" s="45"/>
      <c r="B26" s="19"/>
      <c r="C26" s="20"/>
      <c r="D26" s="24" t="s">
        <v>26</v>
      </c>
      <c r="E26" s="26" t="s">
        <v>49</v>
      </c>
      <c r="F26" s="27">
        <v>200</v>
      </c>
      <c r="G26" s="27">
        <v>0.1</v>
      </c>
      <c r="H26" s="27">
        <v>0</v>
      </c>
      <c r="I26" s="27">
        <v>9.9</v>
      </c>
      <c r="J26" s="27">
        <v>40</v>
      </c>
      <c r="K26" s="91" t="s">
        <v>121</v>
      </c>
      <c r="L26" s="49">
        <v>5.26</v>
      </c>
    </row>
    <row r="27" spans="1:12" ht="15.75">
      <c r="A27" s="45"/>
      <c r="B27" s="19"/>
      <c r="C27" s="20"/>
      <c r="D27" s="24" t="s">
        <v>28</v>
      </c>
      <c r="E27" s="28" t="s">
        <v>46</v>
      </c>
      <c r="F27" s="27">
        <v>50</v>
      </c>
      <c r="G27" s="27">
        <f>SUM(F27*2.37/30)</f>
        <v>3.95</v>
      </c>
      <c r="H27" s="27">
        <f>SUM(F27*0.3/30)</f>
        <v>0.5</v>
      </c>
      <c r="I27" s="27">
        <f>SUM(F27*14.49/30)</f>
        <v>24.15</v>
      </c>
      <c r="J27" s="27">
        <f>SUM(F27*70.14/30)</f>
        <v>116.9</v>
      </c>
      <c r="K27" s="65" t="s">
        <v>50</v>
      </c>
      <c r="L27" s="49">
        <v>4.2</v>
      </c>
    </row>
    <row r="28" spans="1:12" ht="15.75">
      <c r="A28" s="45"/>
      <c r="B28" s="19"/>
      <c r="C28" s="20"/>
      <c r="D28" s="24" t="s">
        <v>28</v>
      </c>
      <c r="E28" s="40" t="s">
        <v>142</v>
      </c>
      <c r="F28" s="27">
        <v>37</v>
      </c>
      <c r="G28" s="27">
        <f>SUM(F28*1.68/30)</f>
        <v>2.0720000000000001</v>
      </c>
      <c r="H28" s="27">
        <f>SUM(F28*0.33/30)</f>
        <v>0.40700000000000003</v>
      </c>
      <c r="I28" s="27">
        <f>SUM(F28*14.82/30)</f>
        <v>18.278000000000002</v>
      </c>
      <c r="J28" s="27">
        <f>SUM(F28*68.97/30)</f>
        <v>85.063000000000002</v>
      </c>
      <c r="K28" s="65" t="s">
        <v>50</v>
      </c>
      <c r="L28" s="49">
        <v>3.09</v>
      </c>
    </row>
    <row r="29" spans="1:12" ht="15.75">
      <c r="A29" s="45"/>
      <c r="B29" s="19"/>
      <c r="C29" s="20"/>
      <c r="D29" s="21"/>
      <c r="E29" s="47"/>
      <c r="F29" s="48"/>
      <c r="G29" s="48"/>
      <c r="H29" s="48"/>
      <c r="I29" s="48"/>
      <c r="J29" s="48"/>
      <c r="K29" s="62"/>
      <c r="L29" s="49"/>
    </row>
    <row r="30" spans="1:12" ht="15.75">
      <c r="A30" s="45"/>
      <c r="B30" s="19"/>
      <c r="C30" s="20"/>
      <c r="D30" s="21"/>
      <c r="E30" s="22"/>
      <c r="F30" s="49"/>
      <c r="G30" s="49"/>
      <c r="H30" s="49"/>
      <c r="I30" s="49"/>
      <c r="J30" s="49"/>
      <c r="K30" s="62"/>
      <c r="L30" s="49"/>
    </row>
    <row r="31" spans="1:12" ht="15.75">
      <c r="A31" s="50"/>
      <c r="B31" s="30"/>
      <c r="C31" s="31"/>
      <c r="D31" s="32" t="s">
        <v>34</v>
      </c>
      <c r="E31" s="33"/>
      <c r="F31" s="35">
        <f>SUM(F24:F30)</f>
        <v>577</v>
      </c>
      <c r="G31" s="35">
        <f t="shared" ref="G31" si="4">SUM(G24:G30)</f>
        <v>24.777000000000001</v>
      </c>
      <c r="H31" s="35">
        <f t="shared" ref="H31" si="5">SUM(H24:H30)</f>
        <v>24.962</v>
      </c>
      <c r="I31" s="35">
        <f t="shared" ref="I31" si="6">SUM(I24:I30)</f>
        <v>79.858000000000004</v>
      </c>
      <c r="J31" s="35">
        <f t="shared" ref="J31:L31" si="7">SUM(J24:J30)</f>
        <v>643.19799999999998</v>
      </c>
      <c r="K31" s="64"/>
      <c r="L31" s="35">
        <f t="shared" si="7"/>
        <v>116.07000000000001</v>
      </c>
    </row>
    <row r="32" spans="1:12" ht="31.5">
      <c r="A32" s="37">
        <f>A24</f>
        <v>1</v>
      </c>
      <c r="B32" s="37">
        <f>B24</f>
        <v>2</v>
      </c>
      <c r="C32" s="38" t="s">
        <v>35</v>
      </c>
      <c r="D32" s="24" t="s">
        <v>36</v>
      </c>
      <c r="E32" s="47" t="s">
        <v>51</v>
      </c>
      <c r="F32" s="27">
        <v>100</v>
      </c>
      <c r="G32" s="27">
        <f>F32*1/100</f>
        <v>1</v>
      </c>
      <c r="H32" s="27">
        <f>F32*6/100</f>
        <v>6</v>
      </c>
      <c r="I32" s="27">
        <f>F32*9.6/100</f>
        <v>9.6</v>
      </c>
      <c r="J32" s="27">
        <f>F32*96.4/100</f>
        <v>96.4</v>
      </c>
      <c r="K32" s="91" t="s">
        <v>120</v>
      </c>
      <c r="L32" s="49">
        <v>12.33</v>
      </c>
    </row>
    <row r="33" spans="1:12" ht="31.5">
      <c r="A33" s="45"/>
      <c r="B33" s="19"/>
      <c r="C33" s="20"/>
      <c r="D33" s="24" t="s">
        <v>37</v>
      </c>
      <c r="E33" s="92" t="s">
        <v>52</v>
      </c>
      <c r="F33" s="27">
        <v>250</v>
      </c>
      <c r="G33" s="27">
        <f>F33*1.72/200+0.05</f>
        <v>2.1999999999999997</v>
      </c>
      <c r="H33" s="27">
        <f>F33*4.16/200</f>
        <v>5.2</v>
      </c>
      <c r="I33" s="27">
        <f>F33*7.6/200+0.1</f>
        <v>9.6</v>
      </c>
      <c r="J33" s="27">
        <f>F33*75.32/200-0.15</f>
        <v>94</v>
      </c>
      <c r="K33" s="62">
        <v>44257</v>
      </c>
      <c r="L33" s="49">
        <v>22.99</v>
      </c>
    </row>
    <row r="34" spans="1:12" ht="15.75">
      <c r="A34" s="45"/>
      <c r="B34" s="19"/>
      <c r="C34" s="20"/>
      <c r="D34" s="24" t="s">
        <v>39</v>
      </c>
      <c r="E34" s="46" t="s">
        <v>53</v>
      </c>
      <c r="F34" s="27">
        <v>90</v>
      </c>
      <c r="G34" s="27">
        <f>F34*13.32/90</f>
        <v>13.32</v>
      </c>
      <c r="H34" s="27">
        <f>F34*11.16/90</f>
        <v>11.16</v>
      </c>
      <c r="I34" s="27">
        <f>F34*8.19/90</f>
        <v>8.19</v>
      </c>
      <c r="J34" s="27">
        <f>F34*186.3/90</f>
        <v>186.3</v>
      </c>
      <c r="K34" s="62">
        <v>44325</v>
      </c>
      <c r="L34" s="49">
        <v>49.55</v>
      </c>
    </row>
    <row r="35" spans="1:12" ht="15.75">
      <c r="A35" s="45"/>
      <c r="B35" s="19"/>
      <c r="C35" s="20"/>
      <c r="D35" s="24" t="s">
        <v>41</v>
      </c>
      <c r="E35" s="26" t="s">
        <v>54</v>
      </c>
      <c r="F35" s="27">
        <v>150</v>
      </c>
      <c r="G35" s="27">
        <f>F35*3.75/150</f>
        <v>3.75</v>
      </c>
      <c r="H35" s="27">
        <f>F35*7.1/150</f>
        <v>7.1</v>
      </c>
      <c r="I35" s="27">
        <f>F35*37.7/150</f>
        <v>37.700000000000003</v>
      </c>
      <c r="J35" s="27">
        <f>F35*230.02/150</f>
        <v>230.02</v>
      </c>
      <c r="K35" s="93" t="s">
        <v>90</v>
      </c>
      <c r="L35" s="49">
        <v>12.97</v>
      </c>
    </row>
    <row r="36" spans="1:12" ht="15.75">
      <c r="A36" s="45"/>
      <c r="B36" s="19"/>
      <c r="C36" s="20"/>
      <c r="D36" s="24" t="s">
        <v>43</v>
      </c>
      <c r="E36" s="46" t="s">
        <v>55</v>
      </c>
      <c r="F36" s="27">
        <v>200</v>
      </c>
      <c r="G36" s="27">
        <v>0</v>
      </c>
      <c r="H36" s="27">
        <v>0</v>
      </c>
      <c r="I36" s="27">
        <v>12</v>
      </c>
      <c r="J36" s="27">
        <v>48</v>
      </c>
      <c r="K36" s="62" t="s">
        <v>56</v>
      </c>
      <c r="L36" s="49">
        <v>12.37</v>
      </c>
    </row>
    <row r="37" spans="1:12" ht="15.75">
      <c r="A37" s="45"/>
      <c r="B37" s="19"/>
      <c r="C37" s="20"/>
      <c r="D37" s="24" t="s">
        <v>45</v>
      </c>
      <c r="E37" s="28" t="s">
        <v>46</v>
      </c>
      <c r="F37" s="27">
        <v>40</v>
      </c>
      <c r="G37" s="27">
        <f>SUM(F37*2.37/30)</f>
        <v>3.1600000000000006</v>
      </c>
      <c r="H37" s="27">
        <f>SUM(F37*0.3/30)</f>
        <v>0.4</v>
      </c>
      <c r="I37" s="27">
        <f>SUM(F37*14.49/30)</f>
        <v>19.32</v>
      </c>
      <c r="J37" s="27">
        <f>SUM(F37*70.14/30)</f>
        <v>93.52</v>
      </c>
      <c r="K37" s="62" t="s">
        <v>30</v>
      </c>
      <c r="L37" s="49">
        <v>3.36</v>
      </c>
    </row>
    <row r="38" spans="1:12" ht="15.75">
      <c r="A38" s="45"/>
      <c r="B38" s="19"/>
      <c r="C38" s="20"/>
      <c r="D38" s="24" t="s">
        <v>47</v>
      </c>
      <c r="E38" s="40" t="s">
        <v>142</v>
      </c>
      <c r="F38" s="27">
        <v>30</v>
      </c>
      <c r="G38" s="27">
        <f>SUM(F38*1.68/30)</f>
        <v>1.68</v>
      </c>
      <c r="H38" s="27">
        <f>SUM(F38*0.33/30)</f>
        <v>0.33</v>
      </c>
      <c r="I38" s="27">
        <f>SUM(F38*14.82/30)</f>
        <v>14.82</v>
      </c>
      <c r="J38" s="27">
        <f>SUM(F38*68.97/30)</f>
        <v>68.97</v>
      </c>
      <c r="K38" s="62" t="s">
        <v>30</v>
      </c>
      <c r="L38" s="49">
        <v>2.5</v>
      </c>
    </row>
    <row r="39" spans="1:12" ht="15.75">
      <c r="A39" s="45"/>
      <c r="B39" s="19"/>
      <c r="C39" s="20"/>
      <c r="D39" s="21"/>
      <c r="E39" s="22"/>
      <c r="F39" s="49"/>
      <c r="G39" s="49"/>
      <c r="H39" s="49"/>
      <c r="I39" s="49"/>
      <c r="J39" s="49"/>
      <c r="K39" s="62"/>
      <c r="L39" s="49"/>
    </row>
    <row r="40" spans="1:12" ht="15.75">
      <c r="A40" s="45"/>
      <c r="B40" s="19"/>
      <c r="C40" s="20"/>
      <c r="D40" s="21"/>
      <c r="E40" s="22"/>
      <c r="F40" s="49"/>
      <c r="G40" s="49"/>
      <c r="H40" s="49"/>
      <c r="I40" s="49"/>
      <c r="J40" s="49"/>
      <c r="K40" s="62"/>
      <c r="L40" s="49"/>
    </row>
    <row r="41" spans="1:12" ht="15.75">
      <c r="A41" s="50"/>
      <c r="B41" s="30"/>
      <c r="C41" s="31"/>
      <c r="D41" s="32" t="s">
        <v>34</v>
      </c>
      <c r="E41" s="33"/>
      <c r="F41" s="35">
        <f>SUM(F32:F40)</f>
        <v>860</v>
      </c>
      <c r="G41" s="35">
        <f t="shared" ref="G41" si="8">SUM(G32:G40)</f>
        <v>25.11</v>
      </c>
      <c r="H41" s="35">
        <f t="shared" ref="H41" si="9">SUM(H32:H40)</f>
        <v>30.189999999999998</v>
      </c>
      <c r="I41" s="35">
        <f t="shared" ref="I41" si="10">SUM(I32:I40)</f>
        <v>111.22999999999999</v>
      </c>
      <c r="J41" s="35">
        <f t="shared" ref="J41:L41" si="11">SUM(J32:J40)</f>
        <v>817.21</v>
      </c>
      <c r="K41" s="64"/>
      <c r="L41" s="35">
        <f t="shared" si="11"/>
        <v>116.07000000000001</v>
      </c>
    </row>
    <row r="42" spans="1:12" ht="15.75" customHeight="1">
      <c r="A42" s="51">
        <f>A24</f>
        <v>1</v>
      </c>
      <c r="B42" s="51">
        <f>B24</f>
        <v>2</v>
      </c>
      <c r="C42" s="126" t="s">
        <v>48</v>
      </c>
      <c r="D42" s="127"/>
      <c r="E42" s="43"/>
      <c r="F42" s="52">
        <f>F31+F41</f>
        <v>1437</v>
      </c>
      <c r="G42" s="52">
        <f t="shared" ref="G42" si="12">G31+G41</f>
        <v>49.887</v>
      </c>
      <c r="H42" s="52">
        <f t="shared" ref="H42" si="13">H31+H41</f>
        <v>55.152000000000001</v>
      </c>
      <c r="I42" s="52">
        <f t="shared" ref="I42" si="14">I31+I41</f>
        <v>191.08799999999999</v>
      </c>
      <c r="J42" s="52">
        <f t="shared" ref="J42:L42" si="15">J31+J41</f>
        <v>1460.4079999999999</v>
      </c>
      <c r="K42" s="44"/>
      <c r="L42" s="52">
        <f t="shared" si="15"/>
        <v>232.14000000000001</v>
      </c>
    </row>
    <row r="43" spans="1:12" ht="15.75">
      <c r="A43" s="13">
        <v>1</v>
      </c>
      <c r="B43" s="14">
        <v>3</v>
      </c>
      <c r="C43" s="15" t="s">
        <v>23</v>
      </c>
      <c r="D43" s="16"/>
      <c r="E43" s="46"/>
      <c r="F43" s="27"/>
      <c r="G43" s="27"/>
      <c r="H43" s="27"/>
      <c r="I43" s="27"/>
      <c r="J43" s="27"/>
      <c r="K43" s="67"/>
      <c r="L43" s="61"/>
    </row>
    <row r="44" spans="1:12" ht="15.75">
      <c r="A44" s="18"/>
      <c r="B44" s="19"/>
      <c r="C44" s="20"/>
      <c r="D44" s="16" t="s">
        <v>39</v>
      </c>
      <c r="E44" s="53" t="s">
        <v>57</v>
      </c>
      <c r="F44" s="27">
        <v>120</v>
      </c>
      <c r="G44" s="27">
        <f>F44*17.19/90</f>
        <v>22.92</v>
      </c>
      <c r="H44" s="27">
        <f>F44*14.31/90</f>
        <v>19.080000000000002</v>
      </c>
      <c r="I44" s="27">
        <f>F44*0.18/90</f>
        <v>0.23999999999999996</v>
      </c>
      <c r="J44" s="27">
        <f>F44*198/90</f>
        <v>264</v>
      </c>
      <c r="K44" s="68">
        <v>4232</v>
      </c>
      <c r="L44" s="61">
        <v>68.989999999999995</v>
      </c>
    </row>
    <row r="45" spans="1:12" ht="15.75">
      <c r="A45" s="18"/>
      <c r="B45" s="19"/>
      <c r="C45" s="20"/>
      <c r="D45" s="21" t="s">
        <v>41</v>
      </c>
      <c r="E45" s="40" t="s">
        <v>42</v>
      </c>
      <c r="F45" s="17">
        <v>150</v>
      </c>
      <c r="G45" s="27">
        <f>F45*5.3/150</f>
        <v>5.3</v>
      </c>
      <c r="H45" s="27">
        <f>F45*3/150</f>
        <v>3</v>
      </c>
      <c r="I45" s="27">
        <f>F45*32.4/150</f>
        <v>32.4</v>
      </c>
      <c r="J45" s="27">
        <f>F45*178/150</f>
        <v>178</v>
      </c>
      <c r="K45" s="62">
        <v>46.3</v>
      </c>
      <c r="L45" s="49">
        <v>9.83</v>
      </c>
    </row>
    <row r="46" spans="1:12" ht="15.75">
      <c r="A46" s="18"/>
      <c r="B46" s="19"/>
      <c r="C46" s="20"/>
      <c r="D46" s="24" t="s">
        <v>26</v>
      </c>
      <c r="E46" s="26" t="s">
        <v>58</v>
      </c>
      <c r="F46" s="27">
        <v>200</v>
      </c>
      <c r="G46" s="27">
        <v>1</v>
      </c>
      <c r="H46" s="27">
        <v>0.1</v>
      </c>
      <c r="I46" s="27">
        <v>19.8</v>
      </c>
      <c r="J46" s="27">
        <v>84.1</v>
      </c>
      <c r="K46" s="69">
        <v>44357</v>
      </c>
      <c r="L46" s="49">
        <v>6.82</v>
      </c>
    </row>
    <row r="47" spans="1:12" ht="15.75">
      <c r="A47" s="18"/>
      <c r="B47" s="19"/>
      <c r="C47" s="20"/>
      <c r="D47" s="24" t="s">
        <v>45</v>
      </c>
      <c r="E47" s="28" t="s">
        <v>46</v>
      </c>
      <c r="F47" s="27">
        <v>50</v>
      </c>
      <c r="G47" s="27">
        <f>SUM(F47*2.37/30)</f>
        <v>3.95</v>
      </c>
      <c r="H47" s="27">
        <f>SUM(F47*0.3/30)</f>
        <v>0.5</v>
      </c>
      <c r="I47" s="27">
        <f>SUM(F47*14.49/30)</f>
        <v>24.15</v>
      </c>
      <c r="J47" s="27">
        <f>SUM(F47*70.14/30)</f>
        <v>116.9</v>
      </c>
      <c r="K47" s="62" t="s">
        <v>30</v>
      </c>
      <c r="L47" s="49">
        <v>4.2</v>
      </c>
    </row>
    <row r="48" spans="1:12" ht="15.75">
      <c r="A48" s="18"/>
      <c r="B48" s="19"/>
      <c r="C48" s="20"/>
      <c r="D48" s="24" t="s">
        <v>47</v>
      </c>
      <c r="E48" s="40" t="s">
        <v>142</v>
      </c>
      <c r="F48" s="27">
        <v>30</v>
      </c>
      <c r="G48" s="27">
        <f>SUM(F48*1.68/30)</f>
        <v>1.68</v>
      </c>
      <c r="H48" s="27">
        <f>SUM(F48*0.33/30)</f>
        <v>0.33</v>
      </c>
      <c r="I48" s="27">
        <f>SUM(F48*14.82/30)</f>
        <v>14.82</v>
      </c>
      <c r="J48" s="27">
        <f>SUM(F48*68.97/30)</f>
        <v>68.97</v>
      </c>
      <c r="K48" s="62" t="s">
        <v>30</v>
      </c>
      <c r="L48" s="49">
        <v>2.2400000000000002</v>
      </c>
    </row>
    <row r="49" spans="1:12" ht="15.75">
      <c r="A49" s="18"/>
      <c r="B49" s="19"/>
      <c r="C49" s="20"/>
      <c r="D49" s="21"/>
      <c r="E49" s="120" t="s">
        <v>140</v>
      </c>
      <c r="F49" s="123">
        <v>60</v>
      </c>
      <c r="G49" s="123">
        <f>F49*1.3/100</f>
        <v>0.78</v>
      </c>
      <c r="H49" s="123">
        <f>F49*6.1/100</f>
        <v>3.66</v>
      </c>
      <c r="I49" s="123">
        <f>F49*4.1/100</f>
        <v>2.4599999999999995</v>
      </c>
      <c r="J49" s="123">
        <f>F49*82/100</f>
        <v>49.2</v>
      </c>
      <c r="K49" s="122">
        <v>20</v>
      </c>
      <c r="L49" s="121">
        <v>23.99</v>
      </c>
    </row>
    <row r="50" spans="1:12" ht="15.75">
      <c r="A50" s="29"/>
      <c r="B50" s="30"/>
      <c r="C50" s="31"/>
      <c r="D50" s="32" t="s">
        <v>34</v>
      </c>
      <c r="E50" s="33"/>
      <c r="F50" s="35">
        <f>SUM(F43:F49)</f>
        <v>610</v>
      </c>
      <c r="G50" s="35">
        <f t="shared" ref="G50" si="16">SUM(G43:G49)</f>
        <v>35.630000000000003</v>
      </c>
      <c r="H50" s="35">
        <f t="shared" ref="H50" si="17">SUM(H43:H49)</f>
        <v>26.67</v>
      </c>
      <c r="I50" s="35">
        <f t="shared" ref="I50" si="18">SUM(I43:I49)</f>
        <v>93.86999999999999</v>
      </c>
      <c r="J50" s="35">
        <f t="shared" ref="J50:L50" si="19">SUM(J43:J49)</f>
        <v>761.17000000000007</v>
      </c>
      <c r="K50" s="64"/>
      <c r="L50" s="35">
        <f t="shared" si="19"/>
        <v>116.06999999999998</v>
      </c>
    </row>
    <row r="51" spans="1:12" ht="31.5">
      <c r="A51" s="36">
        <f>A43</f>
        <v>1</v>
      </c>
      <c r="B51" s="37">
        <f>B43</f>
        <v>3</v>
      </c>
      <c r="C51" s="38" t="s">
        <v>35</v>
      </c>
      <c r="D51" s="24" t="s">
        <v>36</v>
      </c>
      <c r="E51" s="28" t="s">
        <v>59</v>
      </c>
      <c r="F51" s="27">
        <v>60</v>
      </c>
      <c r="G51" s="27">
        <f>F51*1.02/60</f>
        <v>1.02</v>
      </c>
      <c r="H51" s="27">
        <f>F51*3.6/60</f>
        <v>3.6</v>
      </c>
      <c r="I51" s="27">
        <f>F51*4.74/60</f>
        <v>4.74</v>
      </c>
      <c r="J51" s="27">
        <f>F51*55.44/60</f>
        <v>55.439999999999991</v>
      </c>
      <c r="K51" s="62">
        <v>44348</v>
      </c>
      <c r="L51" s="49">
        <v>5.29</v>
      </c>
    </row>
    <row r="52" spans="1:12" ht="31.5">
      <c r="A52" s="18"/>
      <c r="B52" s="19"/>
      <c r="C52" s="20"/>
      <c r="D52" s="24" t="s">
        <v>37</v>
      </c>
      <c r="E52" s="53" t="s">
        <v>60</v>
      </c>
      <c r="F52" s="27">
        <v>200</v>
      </c>
      <c r="G52" s="27">
        <f>F52*2.4/250+0.3</f>
        <v>2.2199999999999998</v>
      </c>
      <c r="H52" s="27">
        <f>F52*4.8/250</f>
        <v>3.84</v>
      </c>
      <c r="I52" s="27">
        <f>F52*7.6/250+0.6</f>
        <v>6.68</v>
      </c>
      <c r="J52" s="27">
        <f>F52*83/250+3.6</f>
        <v>70</v>
      </c>
      <c r="K52" s="66" t="s">
        <v>61</v>
      </c>
      <c r="L52" s="49">
        <v>26.73</v>
      </c>
    </row>
    <row r="53" spans="1:12" ht="15.75">
      <c r="A53" s="18"/>
      <c r="B53" s="19"/>
      <c r="C53" s="20"/>
      <c r="D53" s="24" t="s">
        <v>39</v>
      </c>
      <c r="E53" s="94" t="s">
        <v>62</v>
      </c>
      <c r="F53" s="17">
        <v>90</v>
      </c>
      <c r="G53" s="27">
        <f>F53*11.68/90</f>
        <v>11.68</v>
      </c>
      <c r="H53" s="27">
        <f>F53*11.61/90</f>
        <v>11.609999999999998</v>
      </c>
      <c r="I53" s="27">
        <f>F53*5.76/90</f>
        <v>5.76</v>
      </c>
      <c r="J53" s="27">
        <f>F53*175/90</f>
        <v>175</v>
      </c>
      <c r="K53" s="93" t="s">
        <v>122</v>
      </c>
      <c r="L53" s="49">
        <v>63.95</v>
      </c>
    </row>
    <row r="54" spans="1:12" ht="15.75">
      <c r="A54" s="18"/>
      <c r="B54" s="19"/>
      <c r="C54" s="20"/>
      <c r="D54" s="24" t="s">
        <v>41</v>
      </c>
      <c r="E54" s="54" t="s">
        <v>63</v>
      </c>
      <c r="F54" s="27">
        <v>150</v>
      </c>
      <c r="G54" s="27">
        <f>F54*6.63/150</f>
        <v>6.63</v>
      </c>
      <c r="H54" s="27">
        <f>F54*4.44/150</f>
        <v>4.4400000000000004</v>
      </c>
      <c r="I54" s="27">
        <f>F54*28.8/150</f>
        <v>28.8</v>
      </c>
      <c r="J54" s="27">
        <f>F54*181.5/150</f>
        <v>181.5</v>
      </c>
      <c r="K54" s="95" t="s">
        <v>95</v>
      </c>
      <c r="L54" s="49">
        <v>9.85</v>
      </c>
    </row>
    <row r="55" spans="1:12" ht="15.75">
      <c r="A55" s="18"/>
      <c r="B55" s="19"/>
      <c r="C55" s="20"/>
      <c r="D55" s="24" t="s">
        <v>43</v>
      </c>
      <c r="E55" s="54" t="s">
        <v>64</v>
      </c>
      <c r="F55" s="27">
        <v>200</v>
      </c>
      <c r="G55" s="27">
        <v>0</v>
      </c>
      <c r="H55" s="27">
        <v>0</v>
      </c>
      <c r="I55" s="27">
        <v>27.8</v>
      </c>
      <c r="J55" s="27">
        <v>111</v>
      </c>
      <c r="K55" s="62">
        <v>948</v>
      </c>
      <c r="L55" s="49">
        <v>5.36</v>
      </c>
    </row>
    <row r="56" spans="1:12" ht="15.75">
      <c r="A56" s="18"/>
      <c r="B56" s="19"/>
      <c r="C56" s="20"/>
      <c r="D56" s="24" t="s">
        <v>45</v>
      </c>
      <c r="E56" s="28" t="s">
        <v>46</v>
      </c>
      <c r="F56" s="27">
        <v>30</v>
      </c>
      <c r="G56" s="27">
        <f>SUM(F56*2.37/30)</f>
        <v>2.37</v>
      </c>
      <c r="H56" s="27">
        <f>SUM(F56*0.3/30)</f>
        <v>0.3</v>
      </c>
      <c r="I56" s="27">
        <f>SUM(F56*14.49/30)</f>
        <v>14.49</v>
      </c>
      <c r="J56" s="27">
        <f>SUM(F56*70.14/30)</f>
        <v>70.14</v>
      </c>
      <c r="K56" s="62" t="s">
        <v>30</v>
      </c>
      <c r="L56" s="49">
        <v>2.52</v>
      </c>
    </row>
    <row r="57" spans="1:12" ht="15.75">
      <c r="A57" s="18"/>
      <c r="B57" s="19"/>
      <c r="C57" s="20"/>
      <c r="D57" s="24" t="s">
        <v>47</v>
      </c>
      <c r="E57" s="40" t="s">
        <v>142</v>
      </c>
      <c r="F57" s="27">
        <v>30</v>
      </c>
      <c r="G57" s="27">
        <f>SUM(F57*1.68/30)</f>
        <v>1.68</v>
      </c>
      <c r="H57" s="27">
        <f>SUM(F57*0.33/30)</f>
        <v>0.33</v>
      </c>
      <c r="I57" s="27">
        <f>SUM(F57*14.82/30)</f>
        <v>14.82</v>
      </c>
      <c r="J57" s="27">
        <f>SUM(F57*68.97/30)</f>
        <v>68.97</v>
      </c>
      <c r="K57" s="62" t="s">
        <v>30</v>
      </c>
      <c r="L57" s="49">
        <v>2.37</v>
      </c>
    </row>
    <row r="58" spans="1:12" ht="15.75">
      <c r="A58" s="18"/>
      <c r="B58" s="19"/>
      <c r="C58" s="20"/>
      <c r="D58" s="21"/>
      <c r="E58" s="22"/>
      <c r="F58" s="49"/>
      <c r="G58" s="49"/>
      <c r="H58" s="49"/>
      <c r="I58" s="49"/>
      <c r="J58" s="49"/>
      <c r="K58" s="62"/>
      <c r="L58" s="49"/>
    </row>
    <row r="59" spans="1:12" ht="15.75">
      <c r="A59" s="18"/>
      <c r="B59" s="19"/>
      <c r="C59" s="20"/>
      <c r="D59" s="21"/>
      <c r="E59" s="22"/>
      <c r="F59" s="49"/>
      <c r="G59" s="49"/>
      <c r="H59" s="49"/>
      <c r="I59" s="49"/>
      <c r="J59" s="49"/>
      <c r="K59" s="62"/>
      <c r="L59" s="49"/>
    </row>
    <row r="60" spans="1:12" ht="15.75">
      <c r="A60" s="29"/>
      <c r="B60" s="30"/>
      <c r="C60" s="31"/>
      <c r="D60" s="32" t="s">
        <v>34</v>
      </c>
      <c r="E60" s="33"/>
      <c r="F60" s="35">
        <f>SUM(F51:F59)</f>
        <v>760</v>
      </c>
      <c r="G60" s="35">
        <f t="shared" ref="G60" si="20">SUM(G51:G59)</f>
        <v>25.6</v>
      </c>
      <c r="H60" s="35">
        <f t="shared" ref="H60" si="21">SUM(H51:H59)</f>
        <v>24.119999999999997</v>
      </c>
      <c r="I60" s="35">
        <f t="shared" ref="I60" si="22">SUM(I51:I59)</f>
        <v>103.09</v>
      </c>
      <c r="J60" s="35">
        <f t="shared" ref="J60:L60" si="23">SUM(J51:J59)</f>
        <v>732.05000000000007</v>
      </c>
      <c r="K60" s="64"/>
      <c r="L60" s="35">
        <f t="shared" si="23"/>
        <v>116.07</v>
      </c>
    </row>
    <row r="61" spans="1:12" ht="15.75" customHeight="1">
      <c r="A61" s="41">
        <f>A43</f>
        <v>1</v>
      </c>
      <c r="B61" s="42">
        <f>B43</f>
        <v>3</v>
      </c>
      <c r="C61" s="126" t="s">
        <v>48</v>
      </c>
      <c r="D61" s="127"/>
      <c r="E61" s="43"/>
      <c r="F61" s="52">
        <f>F50+F60</f>
        <v>1370</v>
      </c>
      <c r="G61" s="52">
        <f t="shared" ref="G61" si="24">G50+G60</f>
        <v>61.230000000000004</v>
      </c>
      <c r="H61" s="52">
        <f t="shared" ref="H61" si="25">H50+H60</f>
        <v>50.79</v>
      </c>
      <c r="I61" s="52">
        <f t="shared" ref="I61" si="26">I50+I60</f>
        <v>196.95999999999998</v>
      </c>
      <c r="J61" s="52">
        <f t="shared" ref="J61:L61" si="27">J50+J60</f>
        <v>1493.2200000000003</v>
      </c>
      <c r="K61" s="44"/>
      <c r="L61" s="52">
        <f t="shared" si="27"/>
        <v>232.14</v>
      </c>
    </row>
    <row r="62" spans="1:12" ht="15.75">
      <c r="A62" s="13">
        <v>1</v>
      </c>
      <c r="B62" s="14">
        <v>4</v>
      </c>
      <c r="C62" s="15" t="s">
        <v>23</v>
      </c>
      <c r="D62" s="16" t="s">
        <v>24</v>
      </c>
      <c r="E62" s="55" t="s">
        <v>65</v>
      </c>
      <c r="F62" s="56">
        <v>203</v>
      </c>
      <c r="G62" s="48">
        <f>F62*19.5/200</f>
        <v>19.7925</v>
      </c>
      <c r="H62" s="48">
        <f>F62*21.2/200</f>
        <v>21.517999999999997</v>
      </c>
      <c r="I62" s="48">
        <f>F62*17.7/200</f>
        <v>17.965499999999999</v>
      </c>
      <c r="J62" s="48">
        <f>F62*339.6/200</f>
        <v>344.69400000000002</v>
      </c>
      <c r="K62" s="60">
        <v>44233</v>
      </c>
      <c r="L62" s="70">
        <v>81.17</v>
      </c>
    </row>
    <row r="63" spans="1:12" ht="15.75">
      <c r="A63" s="18"/>
      <c r="B63" s="19"/>
      <c r="C63" s="20"/>
      <c r="D63" s="24" t="s">
        <v>26</v>
      </c>
      <c r="E63" s="26" t="s">
        <v>66</v>
      </c>
      <c r="F63" s="27">
        <v>200</v>
      </c>
      <c r="G63" s="27">
        <v>0.1</v>
      </c>
      <c r="H63" s="27">
        <v>0</v>
      </c>
      <c r="I63" s="27">
        <v>9.8000000000000007</v>
      </c>
      <c r="J63" s="27">
        <v>39</v>
      </c>
      <c r="K63" s="65" t="s">
        <v>67</v>
      </c>
      <c r="L63" s="71">
        <v>3.03</v>
      </c>
    </row>
    <row r="64" spans="1:12" ht="15.75">
      <c r="A64" s="18"/>
      <c r="B64" s="19"/>
      <c r="C64" s="20"/>
      <c r="D64" s="24" t="s">
        <v>28</v>
      </c>
      <c r="E64" s="26" t="s">
        <v>31</v>
      </c>
      <c r="F64" s="17">
        <v>50</v>
      </c>
      <c r="G64" s="17">
        <f>F64*6.1/50</f>
        <v>6.1</v>
      </c>
      <c r="H64" s="17">
        <f>F64*3.7/50</f>
        <v>3.7</v>
      </c>
      <c r="I64" s="17">
        <f>F64*17.5/50</f>
        <v>17.5</v>
      </c>
      <c r="J64" s="17">
        <f>F64*127.7/50</f>
        <v>127.7</v>
      </c>
      <c r="K64" s="63">
        <v>44240</v>
      </c>
      <c r="L64" s="71">
        <v>27.87</v>
      </c>
    </row>
    <row r="65" spans="1:12" ht="15.75">
      <c r="A65" s="18"/>
      <c r="B65" s="19"/>
      <c r="C65" s="20"/>
      <c r="D65" s="24" t="s">
        <v>68</v>
      </c>
      <c r="E65" s="40" t="s">
        <v>142</v>
      </c>
      <c r="F65" s="27">
        <v>50</v>
      </c>
      <c r="G65" s="27">
        <f>SUM(F65*1.68/30)</f>
        <v>2.8</v>
      </c>
      <c r="H65" s="27">
        <f>SUM(F65*0.33/30)</f>
        <v>0.55000000000000004</v>
      </c>
      <c r="I65" s="27">
        <f>SUM(F65*14.82/30)</f>
        <v>24.7</v>
      </c>
      <c r="J65" s="27">
        <f>SUM(F65*68.97/30)</f>
        <v>114.95</v>
      </c>
      <c r="K65" s="62" t="s">
        <v>30</v>
      </c>
      <c r="L65" s="49">
        <v>4</v>
      </c>
    </row>
    <row r="66" spans="1:12" ht="15.75">
      <c r="A66" s="18"/>
      <c r="B66" s="19"/>
      <c r="C66" s="20"/>
      <c r="D66" s="24"/>
      <c r="E66" s="40"/>
      <c r="F66" s="27"/>
      <c r="G66" s="27"/>
      <c r="H66" s="27"/>
      <c r="I66" s="27"/>
      <c r="J66" s="27"/>
      <c r="K66" s="62"/>
      <c r="L66" s="49"/>
    </row>
    <row r="67" spans="1:12" ht="15.75">
      <c r="A67" s="18"/>
      <c r="B67" s="19"/>
      <c r="C67" s="20"/>
      <c r="D67" s="21"/>
      <c r="E67" s="47"/>
      <c r="F67" s="48"/>
      <c r="G67" s="48"/>
      <c r="H67" s="48"/>
      <c r="I67" s="48"/>
      <c r="J67" s="48"/>
      <c r="K67" s="62"/>
      <c r="L67" s="49"/>
    </row>
    <row r="68" spans="1:12" ht="15.75">
      <c r="A68" s="18"/>
      <c r="B68" s="19"/>
      <c r="C68" s="20"/>
      <c r="D68" s="21"/>
      <c r="E68" s="22"/>
      <c r="F68" s="49"/>
      <c r="G68" s="49"/>
      <c r="H68" s="49"/>
      <c r="I68" s="49"/>
      <c r="J68" s="49"/>
      <c r="K68" s="62"/>
      <c r="L68" s="49"/>
    </row>
    <row r="69" spans="1:12" ht="15.75">
      <c r="A69" s="29"/>
      <c r="B69" s="30"/>
      <c r="C69" s="31"/>
      <c r="D69" s="32" t="s">
        <v>34</v>
      </c>
      <c r="E69" s="33"/>
      <c r="F69" s="35">
        <f>SUM(F62:F68)</f>
        <v>503</v>
      </c>
      <c r="G69" s="35">
        <f t="shared" ref="G69" si="28">SUM(G62:G68)</f>
        <v>28.7925</v>
      </c>
      <c r="H69" s="35">
        <f t="shared" ref="H69" si="29">SUM(H62:H68)</f>
        <v>25.767999999999997</v>
      </c>
      <c r="I69" s="35">
        <f t="shared" ref="I69" si="30">SUM(I62:I68)</f>
        <v>69.965500000000006</v>
      </c>
      <c r="J69" s="35">
        <f t="shared" ref="J69:L69" si="31">SUM(J62:J68)</f>
        <v>626.34400000000005</v>
      </c>
      <c r="K69" s="64"/>
      <c r="L69" s="35">
        <f t="shared" si="31"/>
        <v>116.07000000000001</v>
      </c>
    </row>
    <row r="70" spans="1:12" ht="31.5">
      <c r="A70" s="36">
        <f>A62</f>
        <v>1</v>
      </c>
      <c r="B70" s="37">
        <f>B62</f>
        <v>4</v>
      </c>
      <c r="C70" s="38" t="s">
        <v>35</v>
      </c>
      <c r="D70" s="24" t="s">
        <v>36</v>
      </c>
      <c r="E70" s="53" t="s">
        <v>69</v>
      </c>
      <c r="F70" s="48">
        <v>60</v>
      </c>
      <c r="G70" s="27">
        <f>F70*0.72/60</f>
        <v>0.72</v>
      </c>
      <c r="H70" s="27">
        <f>F70*3.6/60</f>
        <v>3.6</v>
      </c>
      <c r="I70" s="27">
        <f>F70*9.72/60</f>
        <v>9.7200000000000006</v>
      </c>
      <c r="J70" s="27">
        <f>F70*74.16/60</f>
        <v>74.16</v>
      </c>
      <c r="K70" s="65" t="s">
        <v>70</v>
      </c>
      <c r="L70" s="49">
        <v>12.63</v>
      </c>
    </row>
    <row r="71" spans="1:12" ht="15.75">
      <c r="A71" s="18"/>
      <c r="B71" s="19"/>
      <c r="C71" s="20"/>
      <c r="D71" s="24" t="s">
        <v>37</v>
      </c>
      <c r="E71" s="53" t="s">
        <v>71</v>
      </c>
      <c r="F71" s="27">
        <v>200</v>
      </c>
      <c r="G71" s="27">
        <f>F71*7.76/200</f>
        <v>7.76</v>
      </c>
      <c r="H71" s="27">
        <f>F71*3.84/200</f>
        <v>3.84</v>
      </c>
      <c r="I71" s="27">
        <f>F71*10.48/200</f>
        <v>10.48</v>
      </c>
      <c r="J71" s="27">
        <f>F71*106/200</f>
        <v>106</v>
      </c>
      <c r="K71" s="66" t="s">
        <v>72</v>
      </c>
      <c r="L71" s="49">
        <v>17.64</v>
      </c>
    </row>
    <row r="72" spans="1:12" ht="15.75">
      <c r="A72" s="18"/>
      <c r="B72" s="19"/>
      <c r="C72" s="20"/>
      <c r="D72" s="24" t="s">
        <v>39</v>
      </c>
      <c r="E72" s="54" t="s">
        <v>73</v>
      </c>
      <c r="F72" s="48">
        <v>90</v>
      </c>
      <c r="G72" s="48">
        <f>F72*14.04/90</f>
        <v>14.04</v>
      </c>
      <c r="H72" s="48">
        <f>F72*17.5/90</f>
        <v>17.5</v>
      </c>
      <c r="I72" s="48">
        <f>F72*14.3/90</f>
        <v>14.3</v>
      </c>
      <c r="J72" s="48">
        <f>F72*270.86/90</f>
        <v>270.86</v>
      </c>
      <c r="K72" s="66" t="s">
        <v>74</v>
      </c>
      <c r="L72" s="49">
        <v>49.71</v>
      </c>
    </row>
    <row r="73" spans="1:12" ht="15.75">
      <c r="A73" s="18"/>
      <c r="B73" s="19"/>
      <c r="C73" s="20"/>
      <c r="D73" s="24" t="s">
        <v>41</v>
      </c>
      <c r="E73" s="54" t="s">
        <v>143</v>
      </c>
      <c r="F73" s="48">
        <v>150</v>
      </c>
      <c r="G73" s="48">
        <f>F73*3.25/150</f>
        <v>3.25</v>
      </c>
      <c r="H73" s="48">
        <f>F73*2.85/150</f>
        <v>2.85</v>
      </c>
      <c r="I73" s="48">
        <f>F73*11.9/150</f>
        <v>11.9</v>
      </c>
      <c r="J73" s="48">
        <f>F73*87/150</f>
        <v>87</v>
      </c>
      <c r="K73" s="66">
        <v>44533</v>
      </c>
      <c r="L73" s="49">
        <v>16.329999999999998</v>
      </c>
    </row>
    <row r="74" spans="1:12" ht="15.75">
      <c r="A74" s="18"/>
      <c r="B74" s="19"/>
      <c r="C74" s="20"/>
      <c r="D74" s="24" t="s">
        <v>43</v>
      </c>
      <c r="E74" s="26" t="s">
        <v>75</v>
      </c>
      <c r="F74" s="27">
        <v>200</v>
      </c>
      <c r="G74" s="27">
        <v>0.2</v>
      </c>
      <c r="H74" s="27">
        <v>0.2</v>
      </c>
      <c r="I74" s="27">
        <v>16.8</v>
      </c>
      <c r="J74" s="27">
        <v>70</v>
      </c>
      <c r="K74" s="66">
        <v>44296</v>
      </c>
      <c r="L74" s="49">
        <v>14.68</v>
      </c>
    </row>
    <row r="75" spans="1:12" ht="15.75">
      <c r="A75" s="18"/>
      <c r="B75" s="19"/>
      <c r="C75" s="20"/>
      <c r="D75" s="24" t="s">
        <v>45</v>
      </c>
      <c r="E75" s="28" t="s">
        <v>46</v>
      </c>
      <c r="F75" s="27">
        <v>50</v>
      </c>
      <c r="G75" s="27">
        <f>SUM(F75*2.37/30)</f>
        <v>3.95</v>
      </c>
      <c r="H75" s="27">
        <f>SUM(F75*0.3/30)</f>
        <v>0.5</v>
      </c>
      <c r="I75" s="27">
        <f>SUM(F75*14.49/30)</f>
        <v>24.15</v>
      </c>
      <c r="J75" s="27">
        <f>SUM(F75*70.14/30)</f>
        <v>116.9</v>
      </c>
      <c r="K75" s="62" t="s">
        <v>30</v>
      </c>
      <c r="L75" s="49">
        <v>3.2</v>
      </c>
    </row>
    <row r="76" spans="1:12" ht="15.75">
      <c r="A76" s="18"/>
      <c r="B76" s="19"/>
      <c r="C76" s="20"/>
      <c r="D76" s="24" t="s">
        <v>47</v>
      </c>
      <c r="E76" s="40" t="s">
        <v>142</v>
      </c>
      <c r="F76" s="27">
        <v>30</v>
      </c>
      <c r="G76" s="27">
        <f>SUM(F76*1.68/30)</f>
        <v>1.68</v>
      </c>
      <c r="H76" s="27">
        <f>SUM(F76*0.33/30)</f>
        <v>0.33</v>
      </c>
      <c r="I76" s="27">
        <f>SUM(F76*14.82/30)</f>
        <v>14.82</v>
      </c>
      <c r="J76" s="27">
        <f>SUM(F76*68.97/30)</f>
        <v>68.97</v>
      </c>
      <c r="K76" s="62" t="s">
        <v>30</v>
      </c>
      <c r="L76" s="49">
        <v>1.88</v>
      </c>
    </row>
    <row r="77" spans="1:12" ht="15.75">
      <c r="A77" s="18"/>
      <c r="B77" s="19"/>
      <c r="C77" s="20"/>
      <c r="D77" s="21"/>
      <c r="E77" s="22"/>
      <c r="F77" s="49"/>
      <c r="G77" s="49"/>
      <c r="H77" s="49"/>
      <c r="I77" s="49"/>
      <c r="J77" s="49"/>
      <c r="K77" s="62"/>
      <c r="L77" s="49"/>
    </row>
    <row r="78" spans="1:12" ht="15.75">
      <c r="A78" s="18"/>
      <c r="B78" s="19"/>
      <c r="C78" s="20"/>
      <c r="D78" s="21"/>
      <c r="E78" s="22"/>
      <c r="F78" s="49"/>
      <c r="G78" s="49"/>
      <c r="H78" s="49"/>
      <c r="I78" s="49"/>
      <c r="J78" s="49"/>
      <c r="K78" s="62"/>
      <c r="L78" s="49"/>
    </row>
    <row r="79" spans="1:12" ht="15.75">
      <c r="A79" s="29"/>
      <c r="B79" s="30"/>
      <c r="C79" s="31"/>
      <c r="D79" s="32" t="s">
        <v>34</v>
      </c>
      <c r="E79" s="33"/>
      <c r="F79" s="35">
        <f>SUM(F70:F78)</f>
        <v>780</v>
      </c>
      <c r="G79" s="35">
        <f t="shared" ref="G79" si="32">SUM(G70:G78)</f>
        <v>31.599999999999998</v>
      </c>
      <c r="H79" s="35">
        <f t="shared" ref="H79" si="33">SUM(H70:H78)</f>
        <v>28.819999999999997</v>
      </c>
      <c r="I79" s="35">
        <f t="shared" ref="I79" si="34">SUM(I70:I78)</f>
        <v>102.16999999999999</v>
      </c>
      <c r="J79" s="35">
        <f t="shared" ref="J79:L79" si="35">SUM(J70:J78)</f>
        <v>793.89</v>
      </c>
      <c r="K79" s="64"/>
      <c r="L79" s="35">
        <f t="shared" si="35"/>
        <v>116.07000000000001</v>
      </c>
    </row>
    <row r="80" spans="1:12" ht="15.75" customHeight="1">
      <c r="A80" s="41">
        <f>A62</f>
        <v>1</v>
      </c>
      <c r="B80" s="42">
        <f>B62</f>
        <v>4</v>
      </c>
      <c r="C80" s="126" t="s">
        <v>48</v>
      </c>
      <c r="D80" s="127"/>
      <c r="E80" s="43"/>
      <c r="F80" s="52">
        <f>F69+F79</f>
        <v>1283</v>
      </c>
      <c r="G80" s="52">
        <f t="shared" ref="G80" si="36">G69+G79</f>
        <v>60.392499999999998</v>
      </c>
      <c r="H80" s="52">
        <f t="shared" ref="H80" si="37">H69+H79</f>
        <v>54.587999999999994</v>
      </c>
      <c r="I80" s="52">
        <f t="shared" ref="I80" si="38">I69+I79</f>
        <v>172.13549999999998</v>
      </c>
      <c r="J80" s="52">
        <f t="shared" ref="J80:L80" si="39">J69+J79</f>
        <v>1420.2339999999999</v>
      </c>
      <c r="K80" s="44"/>
      <c r="L80" s="52">
        <f t="shared" si="39"/>
        <v>232.14000000000001</v>
      </c>
    </row>
    <row r="81" spans="1:12" ht="15.75">
      <c r="A81" s="13">
        <v>1</v>
      </c>
      <c r="B81" s="14">
        <v>5</v>
      </c>
      <c r="C81" s="15" t="s">
        <v>23</v>
      </c>
      <c r="D81" s="16"/>
      <c r="E81" s="53"/>
      <c r="F81" s="27"/>
      <c r="G81" s="27"/>
      <c r="H81" s="27"/>
      <c r="I81" s="27"/>
      <c r="J81" s="27"/>
      <c r="K81" s="74"/>
      <c r="L81" s="61"/>
    </row>
    <row r="82" spans="1:12" ht="15.75">
      <c r="A82" s="18"/>
      <c r="B82" s="19"/>
      <c r="C82" s="20"/>
      <c r="D82" s="16" t="s">
        <v>24</v>
      </c>
      <c r="E82" s="96" t="s">
        <v>123</v>
      </c>
      <c r="F82" s="48">
        <v>95</v>
      </c>
      <c r="G82" s="48">
        <f>F82*14/100</f>
        <v>13.3</v>
      </c>
      <c r="H82" s="48">
        <f>F82*15/100</f>
        <v>14.25</v>
      </c>
      <c r="I82" s="48">
        <f>F82*8.7/100</f>
        <v>8.2649999999999988</v>
      </c>
      <c r="J82" s="48">
        <f>F82*203.22/90</f>
        <v>214.51000000000002</v>
      </c>
      <c r="K82" s="66" t="s">
        <v>76</v>
      </c>
      <c r="L82" s="49">
        <v>73.89</v>
      </c>
    </row>
    <row r="83" spans="1:12" ht="15.75">
      <c r="A83" s="18"/>
      <c r="B83" s="19"/>
      <c r="C83" s="20"/>
      <c r="D83" s="21" t="s">
        <v>41</v>
      </c>
      <c r="E83" s="54" t="s">
        <v>77</v>
      </c>
      <c r="F83" s="27">
        <v>150</v>
      </c>
      <c r="G83" s="27">
        <f>F83*3.17/150</f>
        <v>3.17</v>
      </c>
      <c r="H83" s="27">
        <f>F83*3.67/150</f>
        <v>3.67</v>
      </c>
      <c r="I83" s="27">
        <f>F83*20.4/150</f>
        <v>20.399999999999999</v>
      </c>
      <c r="J83" s="48">
        <f>F83*127.5/150</f>
        <v>127.5</v>
      </c>
      <c r="K83" s="66">
        <v>44258</v>
      </c>
      <c r="L83" s="49">
        <v>20.34</v>
      </c>
    </row>
    <row r="84" spans="1:12" ht="15.75">
      <c r="A84" s="18"/>
      <c r="B84" s="19"/>
      <c r="C84" s="20"/>
      <c r="D84" s="24" t="s">
        <v>43</v>
      </c>
      <c r="E84" s="26" t="s">
        <v>78</v>
      </c>
      <c r="F84" s="48">
        <v>200</v>
      </c>
      <c r="G84" s="48">
        <v>3.6</v>
      </c>
      <c r="H84" s="48">
        <v>3.3</v>
      </c>
      <c r="I84" s="48">
        <v>22.8</v>
      </c>
      <c r="J84" s="48">
        <v>135</v>
      </c>
      <c r="K84" s="75" t="s">
        <v>79</v>
      </c>
      <c r="L84" s="49">
        <v>16.12</v>
      </c>
    </row>
    <row r="85" spans="1:12" ht="15.75">
      <c r="A85" s="18"/>
      <c r="B85" s="19"/>
      <c r="C85" s="20"/>
      <c r="D85" s="24" t="s">
        <v>45</v>
      </c>
      <c r="E85" s="28" t="s">
        <v>46</v>
      </c>
      <c r="F85" s="48">
        <v>40</v>
      </c>
      <c r="G85" s="48">
        <f>SUM(F85*2.37/30)</f>
        <v>3.1600000000000006</v>
      </c>
      <c r="H85" s="48">
        <f>SUM(F85*0.3/30)</f>
        <v>0.4</v>
      </c>
      <c r="I85" s="48">
        <f>SUM(F85*14.49/30)</f>
        <v>19.32</v>
      </c>
      <c r="J85" s="48">
        <f>SUM(F85*70.14/30)</f>
        <v>93.52</v>
      </c>
      <c r="K85" s="62" t="s">
        <v>30</v>
      </c>
      <c r="L85" s="49">
        <v>3.36</v>
      </c>
    </row>
    <row r="86" spans="1:12" ht="15.75">
      <c r="A86" s="18"/>
      <c r="B86" s="19"/>
      <c r="C86" s="20"/>
      <c r="D86" s="24" t="s">
        <v>47</v>
      </c>
      <c r="E86" s="40" t="s">
        <v>142</v>
      </c>
      <c r="F86" s="48">
        <v>30</v>
      </c>
      <c r="G86" s="48">
        <f>SUM(F86*1.68/30)</f>
        <v>1.68</v>
      </c>
      <c r="H86" s="48">
        <f>SUM(F86*0.33/30)</f>
        <v>0.33</v>
      </c>
      <c r="I86" s="48">
        <f>SUM(F86*14.82/30)</f>
        <v>14.82</v>
      </c>
      <c r="J86" s="48">
        <f>SUM(F86*68.97/30)</f>
        <v>68.97</v>
      </c>
      <c r="K86" s="62" t="s">
        <v>30</v>
      </c>
      <c r="L86" s="49">
        <v>2.36</v>
      </c>
    </row>
    <row r="87" spans="1:12" ht="15.75">
      <c r="A87" s="29"/>
      <c r="B87" s="30"/>
      <c r="C87" s="31"/>
      <c r="D87" s="32" t="s">
        <v>34</v>
      </c>
      <c r="E87" s="33"/>
      <c r="F87" s="35">
        <f>SUM(F81:F86)</f>
        <v>515</v>
      </c>
      <c r="G87" s="35">
        <f>SUM(G81:G86)</f>
        <v>24.91</v>
      </c>
      <c r="H87" s="35">
        <f>SUM(H81:H86)</f>
        <v>21.95</v>
      </c>
      <c r="I87" s="35">
        <f>SUM(I81:I86)</f>
        <v>85.60499999999999</v>
      </c>
      <c r="J87" s="35">
        <f>SUM(J81:J86)</f>
        <v>639.5</v>
      </c>
      <c r="K87" s="64"/>
      <c r="L87" s="35">
        <f>SUM(L81:L86)</f>
        <v>116.07000000000001</v>
      </c>
    </row>
    <row r="88" spans="1:12" ht="31.5">
      <c r="A88" s="36">
        <f>A81</f>
        <v>1</v>
      </c>
      <c r="B88" s="37">
        <f>B81</f>
        <v>5</v>
      </c>
      <c r="C88" s="38" t="s">
        <v>35</v>
      </c>
      <c r="D88" s="24" t="s">
        <v>36</v>
      </c>
      <c r="E88" s="97" t="s">
        <v>124</v>
      </c>
      <c r="F88" s="27">
        <v>60</v>
      </c>
      <c r="G88" s="27">
        <f>F88*0.84/60</f>
        <v>0.84</v>
      </c>
      <c r="H88" s="27">
        <f>F88*3.6/60+0.9</f>
        <v>4.5</v>
      </c>
      <c r="I88" s="27">
        <f>F88*4.08/60</f>
        <v>4.08</v>
      </c>
      <c r="J88" s="27">
        <f>F88*52.2/60</f>
        <v>52.2</v>
      </c>
      <c r="K88" s="62" t="s">
        <v>80</v>
      </c>
      <c r="L88" s="49">
        <v>5.0599999999999996</v>
      </c>
    </row>
    <row r="89" spans="1:12" ht="15.75">
      <c r="A89" s="18"/>
      <c r="B89" s="19"/>
      <c r="C89" s="20"/>
      <c r="D89" s="24" t="s">
        <v>37</v>
      </c>
      <c r="E89" s="53" t="s">
        <v>81</v>
      </c>
      <c r="F89" s="48">
        <v>200</v>
      </c>
      <c r="G89" s="48">
        <f>F89*1.9/200</f>
        <v>1.9</v>
      </c>
      <c r="H89" s="48">
        <f>F89*5.52/200</f>
        <v>5.52</v>
      </c>
      <c r="I89" s="48">
        <f>F89*9.4/200</f>
        <v>9.4</v>
      </c>
      <c r="J89" s="48">
        <f>F89*94.8/200</f>
        <v>94.8</v>
      </c>
      <c r="K89" s="91" t="s">
        <v>125</v>
      </c>
      <c r="L89" s="49">
        <v>12.93</v>
      </c>
    </row>
    <row r="90" spans="1:12" ht="15.75">
      <c r="A90" s="18"/>
      <c r="B90" s="19"/>
      <c r="C90" s="20"/>
      <c r="D90" s="24" t="s">
        <v>39</v>
      </c>
      <c r="E90" s="54" t="s">
        <v>82</v>
      </c>
      <c r="F90" s="48">
        <v>200</v>
      </c>
      <c r="G90" s="48">
        <f>F90*18.5/250</f>
        <v>14.8</v>
      </c>
      <c r="H90" s="48">
        <f>F90*20.6/250</f>
        <v>16.48</v>
      </c>
      <c r="I90" s="48">
        <f>F90*43.2/250</f>
        <v>34.56</v>
      </c>
      <c r="J90" s="48">
        <f>F90*397.62/230</f>
        <v>345.75652173913045</v>
      </c>
      <c r="K90" s="62">
        <v>44294</v>
      </c>
      <c r="L90" s="49">
        <v>85.38</v>
      </c>
    </row>
    <row r="91" spans="1:12" ht="15.75">
      <c r="A91" s="18"/>
      <c r="B91" s="19"/>
      <c r="C91" s="20"/>
      <c r="D91" s="24" t="s">
        <v>43</v>
      </c>
      <c r="E91" s="46" t="s">
        <v>83</v>
      </c>
      <c r="F91" s="48">
        <v>200</v>
      </c>
      <c r="G91" s="48">
        <v>0.2</v>
      </c>
      <c r="H91" s="48">
        <v>0.1</v>
      </c>
      <c r="I91" s="48">
        <v>13.1</v>
      </c>
      <c r="J91" s="48">
        <v>54.1</v>
      </c>
      <c r="K91" s="71" t="s">
        <v>84</v>
      </c>
      <c r="L91" s="49">
        <v>7.86</v>
      </c>
    </row>
    <row r="92" spans="1:12" ht="15.75">
      <c r="A92" s="18"/>
      <c r="B92" s="19"/>
      <c r="C92" s="20"/>
      <c r="D92" s="24" t="s">
        <v>45</v>
      </c>
      <c r="E92" s="28" t="s">
        <v>46</v>
      </c>
      <c r="F92" s="48">
        <v>50</v>
      </c>
      <c r="G92" s="48">
        <f>SUM(F92*2.37/30)</f>
        <v>3.95</v>
      </c>
      <c r="H92" s="48">
        <f>SUM(F92*0.3/30)</f>
        <v>0.5</v>
      </c>
      <c r="I92" s="48">
        <f>SUM(F92*14.49/30)</f>
        <v>24.15</v>
      </c>
      <c r="J92" s="48">
        <f>SUM(F92*70.14/30)</f>
        <v>116.9</v>
      </c>
      <c r="K92" s="62" t="s">
        <v>30</v>
      </c>
      <c r="L92" s="49">
        <v>2.7</v>
      </c>
    </row>
    <row r="93" spans="1:12" ht="15.75">
      <c r="A93" s="18"/>
      <c r="B93" s="19"/>
      <c r="C93" s="20"/>
      <c r="D93" s="24" t="s">
        <v>47</v>
      </c>
      <c r="E93" s="40" t="s">
        <v>142</v>
      </c>
      <c r="F93" s="48">
        <v>35</v>
      </c>
      <c r="G93" s="48">
        <f>SUM(F93*1.68/30)</f>
        <v>1.96</v>
      </c>
      <c r="H93" s="48">
        <f>SUM(F93*0.33/30)</f>
        <v>0.38500000000000001</v>
      </c>
      <c r="I93" s="48">
        <f>SUM(F93*14.82/30)</f>
        <v>17.290000000000003</v>
      </c>
      <c r="J93" s="48">
        <f>SUM(F93*68.97/30)</f>
        <v>80.464999999999989</v>
      </c>
      <c r="K93" s="62" t="s">
        <v>30</v>
      </c>
      <c r="L93" s="49">
        <v>2.14</v>
      </c>
    </row>
    <row r="94" spans="1:12" ht="15.75">
      <c r="A94" s="18"/>
      <c r="B94" s="19"/>
      <c r="C94" s="20"/>
      <c r="D94" s="24"/>
      <c r="E94" s="40"/>
      <c r="F94" s="48"/>
      <c r="G94" s="48"/>
      <c r="H94" s="48"/>
      <c r="I94" s="48"/>
      <c r="J94" s="48"/>
      <c r="K94" s="62"/>
      <c r="L94" s="49"/>
    </row>
    <row r="95" spans="1:12" ht="15.75">
      <c r="A95" s="18"/>
      <c r="B95" s="19"/>
      <c r="C95" s="20"/>
      <c r="D95" s="21"/>
      <c r="E95" s="22"/>
      <c r="F95" s="49"/>
      <c r="G95" s="49"/>
      <c r="H95" s="49"/>
      <c r="I95" s="49"/>
      <c r="J95" s="49"/>
      <c r="K95" s="62"/>
      <c r="L95" s="49"/>
    </row>
    <row r="96" spans="1:12" ht="15.75">
      <c r="A96" s="18"/>
      <c r="B96" s="19"/>
      <c r="C96" s="20"/>
      <c r="D96" s="21"/>
      <c r="E96" s="22"/>
      <c r="F96" s="49"/>
      <c r="G96" s="49"/>
      <c r="H96" s="49"/>
      <c r="I96" s="49"/>
      <c r="J96" s="49"/>
      <c r="K96" s="62"/>
      <c r="L96" s="49"/>
    </row>
    <row r="97" spans="1:12" ht="15.75">
      <c r="A97" s="29"/>
      <c r="B97" s="30"/>
      <c r="C97" s="31"/>
      <c r="D97" s="32" t="s">
        <v>34</v>
      </c>
      <c r="E97" s="33"/>
      <c r="F97" s="35">
        <f>SUM(F88:F96)</f>
        <v>745</v>
      </c>
      <c r="G97" s="35">
        <f t="shared" ref="G97" si="40">SUM(G88:G96)</f>
        <v>23.65</v>
      </c>
      <c r="H97" s="35">
        <f t="shared" ref="H97" si="41">SUM(H88:H96)</f>
        <v>27.485000000000003</v>
      </c>
      <c r="I97" s="35">
        <f t="shared" ref="I97" si="42">SUM(I88:I96)</f>
        <v>102.58000000000001</v>
      </c>
      <c r="J97" s="35">
        <f t="shared" ref="J97:L97" si="43">SUM(J88:J96)</f>
        <v>744.22152173913048</v>
      </c>
      <c r="K97" s="64"/>
      <c r="L97" s="34">
        <f t="shared" si="43"/>
        <v>116.07</v>
      </c>
    </row>
    <row r="98" spans="1:12" ht="15.75" customHeight="1">
      <c r="A98" s="41">
        <f>A81</f>
        <v>1</v>
      </c>
      <c r="B98" s="42">
        <f>B81</f>
        <v>5</v>
      </c>
      <c r="C98" s="126" t="s">
        <v>48</v>
      </c>
      <c r="D98" s="127"/>
      <c r="E98" s="43"/>
      <c r="F98" s="52">
        <f>F87+F97</f>
        <v>1260</v>
      </c>
      <c r="G98" s="52">
        <f t="shared" ref="G98" si="44">G87+G97</f>
        <v>48.56</v>
      </c>
      <c r="H98" s="52">
        <f t="shared" ref="H98" si="45">H87+H97</f>
        <v>49.435000000000002</v>
      </c>
      <c r="I98" s="52">
        <f t="shared" ref="I98" si="46">I87+I97</f>
        <v>188.185</v>
      </c>
      <c r="J98" s="52">
        <f t="shared" ref="J98:L98" si="47">J87+J97</f>
        <v>1383.7215217391304</v>
      </c>
      <c r="K98" s="44"/>
      <c r="L98" s="44">
        <f t="shared" si="47"/>
        <v>232.14</v>
      </c>
    </row>
    <row r="99" spans="1:12" ht="31.5">
      <c r="A99" s="13">
        <v>2</v>
      </c>
      <c r="B99" s="14">
        <v>1</v>
      </c>
      <c r="C99" s="15" t="s">
        <v>23</v>
      </c>
      <c r="D99" s="16" t="s">
        <v>24</v>
      </c>
      <c r="E99" s="46" t="s">
        <v>85</v>
      </c>
      <c r="F99" s="72">
        <v>200</v>
      </c>
      <c r="G99" s="27">
        <f>F99*8.2/220</f>
        <v>7.4545454545454533</v>
      </c>
      <c r="H99" s="27">
        <f>F99*12.54/220</f>
        <v>11.4</v>
      </c>
      <c r="I99" s="27">
        <f>F99*34.43/220</f>
        <v>31.3</v>
      </c>
      <c r="J99" s="27">
        <f>F99*283.58/220</f>
        <v>257.8</v>
      </c>
      <c r="K99" s="76">
        <v>45398</v>
      </c>
      <c r="L99" s="61">
        <v>27.18</v>
      </c>
    </row>
    <row r="100" spans="1:12" ht="15.75">
      <c r="A100" s="18"/>
      <c r="B100" s="19"/>
      <c r="C100" s="20"/>
      <c r="D100" s="24" t="s">
        <v>43</v>
      </c>
      <c r="E100" s="25" t="s">
        <v>27</v>
      </c>
      <c r="F100" s="17">
        <v>200</v>
      </c>
      <c r="G100" s="17">
        <v>3.1</v>
      </c>
      <c r="H100" s="17">
        <v>3.2</v>
      </c>
      <c r="I100" s="17">
        <v>14.4</v>
      </c>
      <c r="J100" s="17">
        <v>99</v>
      </c>
      <c r="K100" s="62" t="s">
        <v>86</v>
      </c>
      <c r="L100" s="49">
        <v>16.66</v>
      </c>
    </row>
    <row r="101" spans="1:12" ht="15.75">
      <c r="A101" s="18"/>
      <c r="B101" s="19"/>
      <c r="C101" s="20"/>
      <c r="D101" s="21" t="s">
        <v>28</v>
      </c>
      <c r="E101" s="26" t="s">
        <v>31</v>
      </c>
      <c r="F101" s="17">
        <v>60</v>
      </c>
      <c r="G101" s="17">
        <f>F101*6.1/50</f>
        <v>7.32</v>
      </c>
      <c r="H101" s="17">
        <f>F101*3.7/50</f>
        <v>4.4400000000000004</v>
      </c>
      <c r="I101" s="17">
        <f>F101*17.5/50</f>
        <v>21</v>
      </c>
      <c r="J101" s="17">
        <f>F101*127.7/50</f>
        <v>153.24</v>
      </c>
      <c r="K101" s="63">
        <v>44240</v>
      </c>
      <c r="L101" s="49">
        <v>33.44</v>
      </c>
    </row>
    <row r="102" spans="1:12" ht="15.75">
      <c r="A102" s="18"/>
      <c r="B102" s="19"/>
      <c r="C102" s="20"/>
      <c r="D102" s="24" t="s">
        <v>47</v>
      </c>
      <c r="E102" s="40" t="s">
        <v>142</v>
      </c>
      <c r="F102" s="27">
        <v>30</v>
      </c>
      <c r="G102" s="27">
        <f>SUM(F102*1.68/30)</f>
        <v>1.68</v>
      </c>
      <c r="H102" s="27">
        <f>SUM(F102*0.33/30)</f>
        <v>0.33</v>
      </c>
      <c r="I102" s="27">
        <f>SUM(F102*14.82/30)</f>
        <v>14.82</v>
      </c>
      <c r="J102" s="27">
        <f>SUM(F102*68.97/30)</f>
        <v>68.97</v>
      </c>
      <c r="K102" s="62" t="s">
        <v>30</v>
      </c>
      <c r="L102" s="49">
        <v>2.52</v>
      </c>
    </row>
    <row r="103" spans="1:12" ht="15.75">
      <c r="A103" s="18"/>
      <c r="B103" s="19"/>
      <c r="C103" s="20"/>
      <c r="D103" s="21" t="s">
        <v>87</v>
      </c>
      <c r="E103" s="97" t="s">
        <v>115</v>
      </c>
      <c r="F103" s="27">
        <v>130</v>
      </c>
      <c r="G103" s="27">
        <f>F103*0.4/100</f>
        <v>0.52</v>
      </c>
      <c r="H103" s="27">
        <f>F103*0.4/100</f>
        <v>0.52</v>
      </c>
      <c r="I103" s="27">
        <f>F103*10.95/100</f>
        <v>14.234999999999999</v>
      </c>
      <c r="J103" s="27">
        <f>F103*49/100</f>
        <v>63.7</v>
      </c>
      <c r="K103" s="62" t="s">
        <v>30</v>
      </c>
      <c r="L103" s="49">
        <v>36.270000000000003</v>
      </c>
    </row>
    <row r="104" spans="1:12" ht="15.75">
      <c r="A104" s="18"/>
      <c r="B104" s="19"/>
      <c r="C104" s="20"/>
      <c r="D104" s="21"/>
      <c r="E104" s="22"/>
      <c r="F104" s="49"/>
      <c r="G104" s="49"/>
      <c r="H104" s="49"/>
      <c r="I104" s="49"/>
      <c r="J104" s="49"/>
      <c r="K104" s="62"/>
      <c r="L104" s="49"/>
    </row>
    <row r="105" spans="1:12" ht="15.75">
      <c r="A105" s="29"/>
      <c r="B105" s="30"/>
      <c r="C105" s="31"/>
      <c r="D105" s="32" t="s">
        <v>34</v>
      </c>
      <c r="E105" s="33"/>
      <c r="F105" s="35">
        <f>SUM(F99:F104)</f>
        <v>620</v>
      </c>
      <c r="G105" s="35">
        <f>SUM(G99:G104)</f>
        <v>20.074545454545454</v>
      </c>
      <c r="H105" s="35">
        <f>SUM(H99:H104)</f>
        <v>19.89</v>
      </c>
      <c r="I105" s="35">
        <f>SUM(I99:I104)+0.01</f>
        <v>95.765000000000015</v>
      </c>
      <c r="J105" s="35">
        <f>SUM(J99:J104)</f>
        <v>642.71</v>
      </c>
      <c r="K105" s="64"/>
      <c r="L105" s="35">
        <f>SUM(L99:L104)</f>
        <v>116.07</v>
      </c>
    </row>
    <row r="106" spans="1:12" ht="31.5">
      <c r="A106" s="36">
        <f>A99</f>
        <v>2</v>
      </c>
      <c r="B106" s="37">
        <f>B99</f>
        <v>1</v>
      </c>
      <c r="C106" s="38" t="s">
        <v>35</v>
      </c>
      <c r="D106" s="24" t="s">
        <v>36</v>
      </c>
      <c r="E106" s="28" t="s">
        <v>116</v>
      </c>
      <c r="F106" s="27">
        <v>60</v>
      </c>
      <c r="G106" s="27">
        <f>F106*0.6/60</f>
        <v>0.6</v>
      </c>
      <c r="H106" s="27">
        <f>F106*6/60</f>
        <v>6</v>
      </c>
      <c r="I106" s="27">
        <f>F106*4.76/60</f>
        <v>4.76</v>
      </c>
      <c r="J106" s="27">
        <f>F106*75.44/60</f>
        <v>75.44</v>
      </c>
      <c r="K106" s="65" t="s">
        <v>117</v>
      </c>
      <c r="L106" s="48">
        <v>13.36</v>
      </c>
    </row>
    <row r="107" spans="1:12" ht="31.5">
      <c r="A107" s="18"/>
      <c r="B107" s="19"/>
      <c r="C107" s="20"/>
      <c r="D107" s="24" t="s">
        <v>37</v>
      </c>
      <c r="E107" s="53" t="s">
        <v>88</v>
      </c>
      <c r="F107" s="27">
        <v>200</v>
      </c>
      <c r="G107" s="27">
        <f>F107*3.6/200</f>
        <v>3.6</v>
      </c>
      <c r="H107" s="27">
        <f>F107*4.1/200</f>
        <v>4.0999999999999996</v>
      </c>
      <c r="I107" s="27">
        <f>F107*24.7/200</f>
        <v>24.7</v>
      </c>
      <c r="J107" s="27">
        <f>F107*151/200</f>
        <v>151</v>
      </c>
      <c r="K107" s="66" t="s">
        <v>89</v>
      </c>
      <c r="L107" s="48">
        <v>15.8</v>
      </c>
    </row>
    <row r="108" spans="1:12" ht="15.75">
      <c r="A108" s="18"/>
      <c r="B108" s="19"/>
      <c r="C108" s="20"/>
      <c r="D108" s="24" t="s">
        <v>39</v>
      </c>
      <c r="E108" s="46" t="s">
        <v>53</v>
      </c>
      <c r="F108" s="27">
        <v>90</v>
      </c>
      <c r="G108" s="27">
        <f>F108*13.32/90</f>
        <v>13.32</v>
      </c>
      <c r="H108" s="27">
        <f>F108*11.16/90</f>
        <v>11.16</v>
      </c>
      <c r="I108" s="27">
        <f>F108*8.19/90</f>
        <v>8.19</v>
      </c>
      <c r="J108" s="27">
        <f>F108*186.3/90</f>
        <v>186.3</v>
      </c>
      <c r="K108" s="62">
        <v>44325</v>
      </c>
      <c r="L108" s="48">
        <v>49.55</v>
      </c>
    </row>
    <row r="109" spans="1:12" ht="15.75">
      <c r="A109" s="18"/>
      <c r="B109" s="19"/>
      <c r="C109" s="20"/>
      <c r="D109" s="24" t="s">
        <v>41</v>
      </c>
      <c r="E109" s="98" t="s">
        <v>126</v>
      </c>
      <c r="F109" s="27">
        <v>160</v>
      </c>
      <c r="G109" s="27">
        <f>F109*3.67/150</f>
        <v>3.9146666666666672</v>
      </c>
      <c r="H109" s="27">
        <f>F109*5.42/150</f>
        <v>5.7813333333333334</v>
      </c>
      <c r="I109" s="27">
        <f>F109*36.67/150</f>
        <v>39.114666666666672</v>
      </c>
      <c r="J109" s="27">
        <f>F109*210.11/150</f>
        <v>224.11733333333336</v>
      </c>
      <c r="K109" s="62" t="s">
        <v>90</v>
      </c>
      <c r="L109" s="48">
        <v>20.56</v>
      </c>
    </row>
    <row r="110" spans="1:12" ht="15.75">
      <c r="A110" s="18"/>
      <c r="B110" s="19"/>
      <c r="C110" s="20"/>
      <c r="D110" s="24" t="s">
        <v>43</v>
      </c>
      <c r="E110" s="54" t="s">
        <v>91</v>
      </c>
      <c r="F110" s="48">
        <v>200</v>
      </c>
      <c r="G110" s="48">
        <v>1</v>
      </c>
      <c r="H110" s="48">
        <v>0</v>
      </c>
      <c r="I110" s="48">
        <v>27.4</v>
      </c>
      <c r="J110" s="48">
        <v>113.6</v>
      </c>
      <c r="K110" s="66">
        <v>16</v>
      </c>
      <c r="L110" s="48">
        <v>12.58</v>
      </c>
    </row>
    <row r="111" spans="1:12" ht="15.75">
      <c r="A111" s="18"/>
      <c r="B111" s="19"/>
      <c r="C111" s="20"/>
      <c r="D111" s="24" t="s">
        <v>45</v>
      </c>
      <c r="E111" s="28" t="s">
        <v>46</v>
      </c>
      <c r="F111" s="48">
        <v>30</v>
      </c>
      <c r="G111" s="48">
        <f>SUM(F111*2.37/30)</f>
        <v>2.37</v>
      </c>
      <c r="H111" s="48">
        <f>SUM(F111*0.3/30)</f>
        <v>0.3</v>
      </c>
      <c r="I111" s="48">
        <f>SUM(F111*14.49/30)</f>
        <v>14.49</v>
      </c>
      <c r="J111" s="48">
        <f>SUM(F111*70.14/30)</f>
        <v>70.14</v>
      </c>
      <c r="K111" s="69" t="s">
        <v>30</v>
      </c>
      <c r="L111" s="48">
        <v>2.52</v>
      </c>
    </row>
    <row r="112" spans="1:12" ht="15.75">
      <c r="A112" s="18"/>
      <c r="B112" s="19"/>
      <c r="C112" s="20"/>
      <c r="D112" s="24" t="s">
        <v>47</v>
      </c>
      <c r="E112" s="40" t="s">
        <v>142</v>
      </c>
      <c r="F112" s="48">
        <v>30</v>
      </c>
      <c r="G112" s="48">
        <f>SUM(F112*1.68/30)</f>
        <v>1.68</v>
      </c>
      <c r="H112" s="48">
        <f>SUM(F112*0.33/30)</f>
        <v>0.33</v>
      </c>
      <c r="I112" s="48">
        <f>SUM(F112*14.82/30)</f>
        <v>14.82</v>
      </c>
      <c r="J112" s="48">
        <f>SUM(F112*68.97/30)</f>
        <v>68.97</v>
      </c>
      <c r="K112" s="69" t="s">
        <v>50</v>
      </c>
      <c r="L112" s="48">
        <v>1.7</v>
      </c>
    </row>
    <row r="113" spans="1:12" ht="15.75">
      <c r="A113" s="18"/>
      <c r="B113" s="19"/>
      <c r="C113" s="20"/>
      <c r="D113" s="21"/>
      <c r="E113" s="54"/>
      <c r="F113" s="48"/>
      <c r="G113" s="48"/>
      <c r="H113" s="48"/>
      <c r="I113" s="48"/>
      <c r="J113" s="48"/>
      <c r="K113" s="77"/>
      <c r="L113" s="48"/>
    </row>
    <row r="114" spans="1:12" ht="15.75">
      <c r="A114" s="18"/>
      <c r="B114" s="19"/>
      <c r="C114" s="20"/>
      <c r="D114" s="21"/>
      <c r="E114" s="22"/>
      <c r="F114" s="49"/>
      <c r="G114" s="49"/>
      <c r="H114" s="49"/>
      <c r="I114" s="49"/>
      <c r="J114" s="49"/>
      <c r="K114" s="62"/>
      <c r="L114" s="49"/>
    </row>
    <row r="115" spans="1:12" ht="15.75">
      <c r="A115" s="29"/>
      <c r="B115" s="30"/>
      <c r="C115" s="31"/>
      <c r="D115" s="32" t="s">
        <v>34</v>
      </c>
      <c r="E115" s="33"/>
      <c r="F115" s="35">
        <f>SUM(F106:F114)</f>
        <v>770</v>
      </c>
      <c r="G115" s="35">
        <f t="shared" ref="G115:J115" si="48">SUM(G106:G114)</f>
        <v>26.484666666666666</v>
      </c>
      <c r="H115" s="35">
        <f t="shared" si="48"/>
        <v>27.67133333333333</v>
      </c>
      <c r="I115" s="35">
        <f t="shared" si="48"/>
        <v>133.47466666666668</v>
      </c>
      <c r="J115" s="35">
        <f t="shared" si="48"/>
        <v>889.56733333333341</v>
      </c>
      <c r="K115" s="64"/>
      <c r="L115" s="35">
        <f t="shared" ref="L115" si="49">SUM(L106:L114)</f>
        <v>116.07</v>
      </c>
    </row>
    <row r="116" spans="1:12" ht="15.75">
      <c r="A116" s="41">
        <f>A99</f>
        <v>2</v>
      </c>
      <c r="B116" s="42">
        <f>B99</f>
        <v>1</v>
      </c>
      <c r="C116" s="126" t="s">
        <v>48</v>
      </c>
      <c r="D116" s="127"/>
      <c r="E116" s="43"/>
      <c r="F116" s="52">
        <f>F105+F115</f>
        <v>1390</v>
      </c>
      <c r="G116" s="52">
        <f t="shared" ref="G116" si="50">G105+G115</f>
        <v>46.55921212121212</v>
      </c>
      <c r="H116" s="52">
        <f t="shared" ref="H116" si="51">H105+H115</f>
        <v>47.56133333333333</v>
      </c>
      <c r="I116" s="52">
        <f t="shared" ref="I116" si="52">I105+I115</f>
        <v>229.23966666666669</v>
      </c>
      <c r="J116" s="52">
        <f t="shared" ref="J116:L116" si="53">J105+J115</f>
        <v>1532.2773333333334</v>
      </c>
      <c r="K116" s="44"/>
      <c r="L116" s="52">
        <f t="shared" si="53"/>
        <v>232.14</v>
      </c>
    </row>
    <row r="117" spans="1:12" ht="31.5">
      <c r="A117" s="45">
        <v>2</v>
      </c>
      <c r="B117" s="19">
        <v>2</v>
      </c>
      <c r="C117" s="15" t="s">
        <v>23</v>
      </c>
      <c r="D117" s="16" t="s">
        <v>24</v>
      </c>
      <c r="E117" s="92" t="s">
        <v>127</v>
      </c>
      <c r="F117" s="27">
        <v>214</v>
      </c>
      <c r="G117" s="27">
        <f>F117*35.2/200</f>
        <v>37.664000000000001</v>
      </c>
      <c r="H117" s="27">
        <f>F117*21/200</f>
        <v>22.47</v>
      </c>
      <c r="I117" s="27">
        <f>F117*37.6/200</f>
        <v>40.231999999999999</v>
      </c>
      <c r="J117" s="27">
        <f>F117*478/200</f>
        <v>511.46</v>
      </c>
      <c r="K117" s="60">
        <v>4443</v>
      </c>
      <c r="L117" s="61">
        <v>86.62</v>
      </c>
    </row>
    <row r="118" spans="1:12" ht="15.75">
      <c r="A118" s="45"/>
      <c r="B118" s="19"/>
      <c r="C118" s="20"/>
      <c r="D118" s="24" t="s">
        <v>26</v>
      </c>
      <c r="E118" s="46" t="s">
        <v>92</v>
      </c>
      <c r="F118" s="73">
        <v>200</v>
      </c>
      <c r="G118" s="27">
        <v>0.2</v>
      </c>
      <c r="H118" s="27">
        <v>0</v>
      </c>
      <c r="I118" s="27">
        <v>13.7</v>
      </c>
      <c r="J118" s="27">
        <v>56</v>
      </c>
      <c r="K118" s="62" t="s">
        <v>93</v>
      </c>
      <c r="L118" s="49">
        <v>3.15</v>
      </c>
    </row>
    <row r="119" spans="1:12" ht="15.75">
      <c r="A119" s="45"/>
      <c r="B119" s="19"/>
      <c r="C119" s="20"/>
      <c r="D119" s="24" t="s">
        <v>28</v>
      </c>
      <c r="E119" s="26" t="s">
        <v>94</v>
      </c>
      <c r="F119" s="27">
        <v>60</v>
      </c>
      <c r="G119" s="27">
        <f>F119*3.2/50</f>
        <v>3.84</v>
      </c>
      <c r="H119" s="27">
        <f>F119*7.7/50</f>
        <v>9.24</v>
      </c>
      <c r="I119" s="27">
        <f>F119*19.5/50</f>
        <v>23.4</v>
      </c>
      <c r="J119" s="27">
        <f>F119*160/50</f>
        <v>192</v>
      </c>
      <c r="K119" s="63">
        <v>44209</v>
      </c>
      <c r="L119" s="49">
        <v>22.32</v>
      </c>
    </row>
    <row r="120" spans="1:12" ht="15.75">
      <c r="A120" s="45"/>
      <c r="B120" s="19"/>
      <c r="C120" s="20"/>
      <c r="D120" s="24" t="s">
        <v>28</v>
      </c>
      <c r="E120" s="40" t="s">
        <v>142</v>
      </c>
      <c r="F120" s="48">
        <v>50</v>
      </c>
      <c r="G120" s="48">
        <f>SUM(F120*1.68/30)</f>
        <v>2.8</v>
      </c>
      <c r="H120" s="48">
        <f>SUM(F120*0.33/30)</f>
        <v>0.55000000000000004</v>
      </c>
      <c r="I120" s="48">
        <f>SUM(F120*14.82/30)</f>
        <v>24.7</v>
      </c>
      <c r="J120" s="48">
        <f>SUM(F120*68.97/30)</f>
        <v>114.95</v>
      </c>
      <c r="K120" s="62" t="s">
        <v>30</v>
      </c>
      <c r="L120" s="49">
        <v>3.98</v>
      </c>
    </row>
    <row r="121" spans="1:12" ht="15.75">
      <c r="A121" s="45"/>
      <c r="B121" s="19"/>
      <c r="C121" s="20"/>
      <c r="D121" s="21"/>
      <c r="E121" s="26"/>
      <c r="F121" s="27"/>
      <c r="G121" s="27"/>
      <c r="H121" s="27"/>
      <c r="I121" s="27"/>
      <c r="J121" s="27"/>
      <c r="K121" s="62"/>
      <c r="L121" s="49"/>
    </row>
    <row r="122" spans="1:12" ht="15.75">
      <c r="A122" s="45"/>
      <c r="B122" s="19"/>
      <c r="C122" s="20"/>
      <c r="D122" s="21"/>
      <c r="E122" s="22"/>
      <c r="F122" s="49"/>
      <c r="G122" s="49"/>
      <c r="H122" s="49"/>
      <c r="I122" s="49"/>
      <c r="J122" s="49"/>
      <c r="K122" s="62"/>
      <c r="L122" s="49"/>
    </row>
    <row r="123" spans="1:12" ht="15.75">
      <c r="A123" s="50"/>
      <c r="B123" s="30"/>
      <c r="C123" s="31"/>
      <c r="D123" s="32" t="s">
        <v>34</v>
      </c>
      <c r="E123" s="33"/>
      <c r="F123" s="35">
        <f>SUM(F117:F122)</f>
        <v>524</v>
      </c>
      <c r="G123" s="35">
        <f>SUM(G117:G122)</f>
        <v>44.504000000000005</v>
      </c>
      <c r="H123" s="35">
        <f>SUM(H117:H122)</f>
        <v>32.26</v>
      </c>
      <c r="I123" s="35">
        <f>SUM(I117:I122)</f>
        <v>102.032</v>
      </c>
      <c r="J123" s="35">
        <f>SUM(J117:J122)</f>
        <v>874.41000000000008</v>
      </c>
      <c r="K123" s="64"/>
      <c r="L123" s="35">
        <f>SUM(L117:L122)</f>
        <v>116.07000000000001</v>
      </c>
    </row>
    <row r="124" spans="1:12" ht="31.5">
      <c r="A124" s="37">
        <f>A117</f>
        <v>2</v>
      </c>
      <c r="B124" s="37">
        <f>B117</f>
        <v>2</v>
      </c>
      <c r="C124" s="38" t="s">
        <v>35</v>
      </c>
      <c r="D124" s="24" t="s">
        <v>36</v>
      </c>
      <c r="E124" s="96" t="s">
        <v>134</v>
      </c>
      <c r="F124" s="27">
        <v>60</v>
      </c>
      <c r="G124" s="27">
        <f>F124*1.5/60</f>
        <v>1.5</v>
      </c>
      <c r="H124" s="27">
        <f>F124*6/60</f>
        <v>6</v>
      </c>
      <c r="I124" s="27">
        <f>F124*4.25/60</f>
        <v>4.25</v>
      </c>
      <c r="J124" s="27">
        <f>F124*77/60</f>
        <v>77</v>
      </c>
      <c r="K124" s="66">
        <v>44409</v>
      </c>
      <c r="L124" s="49">
        <v>14.57</v>
      </c>
    </row>
    <row r="125" spans="1:12" ht="15.75">
      <c r="A125" s="45"/>
      <c r="B125" s="19"/>
      <c r="C125" s="20"/>
      <c r="D125" s="24" t="s">
        <v>37</v>
      </c>
      <c r="E125" s="96" t="s">
        <v>129</v>
      </c>
      <c r="F125" s="27">
        <v>200</v>
      </c>
      <c r="G125" s="27">
        <f>F125*2.56/200</f>
        <v>2.56</v>
      </c>
      <c r="H125" s="27">
        <f>F125*2.96/200</f>
        <v>2.96</v>
      </c>
      <c r="I125" s="27">
        <f>F125*17.44/200</f>
        <v>17.440000000000001</v>
      </c>
      <c r="J125" s="27">
        <f>F125*106.4/200</f>
        <v>106.4</v>
      </c>
      <c r="K125" s="95" t="s">
        <v>130</v>
      </c>
      <c r="L125" s="49">
        <v>13.33</v>
      </c>
    </row>
    <row r="126" spans="1:12" ht="15.75">
      <c r="A126" s="45"/>
      <c r="B126" s="19"/>
      <c r="C126" s="20"/>
      <c r="D126" s="24" t="s">
        <v>39</v>
      </c>
      <c r="E126" s="96" t="s">
        <v>131</v>
      </c>
      <c r="F126" s="27">
        <v>90</v>
      </c>
      <c r="G126" s="27">
        <f>F126*14.9/100</f>
        <v>13.41</v>
      </c>
      <c r="H126" s="27">
        <f>F126*15.7/100</f>
        <v>14.13</v>
      </c>
      <c r="I126" s="27">
        <f>F126*4.7/100</f>
        <v>4.2300000000000004</v>
      </c>
      <c r="J126" s="27">
        <f>F126*221/100</f>
        <v>198.9</v>
      </c>
      <c r="K126" s="95" t="s">
        <v>132</v>
      </c>
      <c r="L126" s="49">
        <v>61.7</v>
      </c>
    </row>
    <row r="127" spans="1:12" ht="15.75">
      <c r="A127" s="45"/>
      <c r="B127" s="19"/>
      <c r="C127" s="20"/>
      <c r="D127" s="24" t="s">
        <v>41</v>
      </c>
      <c r="E127" s="54" t="s">
        <v>63</v>
      </c>
      <c r="F127" s="27">
        <v>150</v>
      </c>
      <c r="G127" s="27">
        <f>F127*6.63/150</f>
        <v>6.63</v>
      </c>
      <c r="H127" s="27">
        <f>F127*4.44/150</f>
        <v>4.4400000000000004</v>
      </c>
      <c r="I127" s="27">
        <f>F127*28.8/150</f>
        <v>28.8</v>
      </c>
      <c r="J127" s="27">
        <f>F127*181.5/150</f>
        <v>181.5</v>
      </c>
      <c r="K127" s="66" t="s">
        <v>95</v>
      </c>
      <c r="L127" s="49">
        <v>9.85</v>
      </c>
    </row>
    <row r="128" spans="1:12" ht="15.75">
      <c r="A128" s="45"/>
      <c r="B128" s="19"/>
      <c r="C128" s="20"/>
      <c r="D128" s="24" t="s">
        <v>43</v>
      </c>
      <c r="E128" s="46" t="s">
        <v>96</v>
      </c>
      <c r="F128" s="27">
        <v>200</v>
      </c>
      <c r="G128" s="27">
        <v>0.4</v>
      </c>
      <c r="H128" s="27">
        <v>0.4</v>
      </c>
      <c r="I128" s="27">
        <v>18.7</v>
      </c>
      <c r="J128" s="27">
        <v>80</v>
      </c>
      <c r="K128" s="66">
        <v>44265</v>
      </c>
      <c r="L128" s="49">
        <v>12.22</v>
      </c>
    </row>
    <row r="129" spans="1:12" ht="15.75">
      <c r="A129" s="45"/>
      <c r="B129" s="19"/>
      <c r="C129" s="20"/>
      <c r="D129" s="99" t="s">
        <v>128</v>
      </c>
      <c r="E129" s="97" t="s">
        <v>114</v>
      </c>
      <c r="F129" s="27">
        <v>20</v>
      </c>
      <c r="G129" s="27">
        <f>F129*1.7/20</f>
        <v>1.7</v>
      </c>
      <c r="H129" s="27">
        <f>F129*0.2/20</f>
        <v>0.2</v>
      </c>
      <c r="I129" s="27">
        <f>F129*10.7/20</f>
        <v>10.7</v>
      </c>
      <c r="J129" s="27">
        <f>F129*51.4/20</f>
        <v>51.4</v>
      </c>
      <c r="K129" s="95" t="s">
        <v>133</v>
      </c>
      <c r="L129" s="49">
        <v>2.02</v>
      </c>
    </row>
    <row r="130" spans="1:12" ht="15.75">
      <c r="A130" s="45"/>
      <c r="B130" s="19"/>
      <c r="C130" s="20"/>
      <c r="D130" s="24" t="s">
        <v>47</v>
      </c>
      <c r="E130" s="40" t="s">
        <v>29</v>
      </c>
      <c r="F130" s="27">
        <v>30</v>
      </c>
      <c r="G130" s="27">
        <f>SUM(F130*1.68/30)</f>
        <v>1.68</v>
      </c>
      <c r="H130" s="27">
        <f>SUM(F130*0.33/30)</f>
        <v>0.33</v>
      </c>
      <c r="I130" s="27">
        <f>SUM(F130*14.82/30)</f>
        <v>14.82</v>
      </c>
      <c r="J130" s="27">
        <f>SUM(F130*68.97/30)</f>
        <v>68.97</v>
      </c>
      <c r="K130" s="66" t="s">
        <v>50</v>
      </c>
      <c r="L130" s="49">
        <v>2.38</v>
      </c>
    </row>
    <row r="131" spans="1:12" ht="15.75">
      <c r="A131" s="45"/>
      <c r="B131" s="19"/>
      <c r="C131" s="20"/>
      <c r="D131" s="21"/>
      <c r="E131" s="22"/>
      <c r="F131" s="49"/>
      <c r="G131" s="49"/>
      <c r="H131" s="49"/>
      <c r="I131" s="49"/>
      <c r="J131" s="49"/>
      <c r="K131" s="62"/>
      <c r="L131" s="49"/>
    </row>
    <row r="132" spans="1:12" ht="15.75">
      <c r="A132" s="45"/>
      <c r="B132" s="19"/>
      <c r="C132" s="20"/>
      <c r="D132" s="21"/>
      <c r="E132" s="22"/>
      <c r="F132" s="49"/>
      <c r="G132" s="49"/>
      <c r="H132" s="49"/>
      <c r="I132" s="49"/>
      <c r="J132" s="49"/>
      <c r="K132" s="62"/>
      <c r="L132" s="49"/>
    </row>
    <row r="133" spans="1:12" ht="15.75">
      <c r="A133" s="50"/>
      <c r="B133" s="30"/>
      <c r="C133" s="31"/>
      <c r="D133" s="32" t="s">
        <v>34</v>
      </c>
      <c r="E133" s="33"/>
      <c r="F133" s="35">
        <f>SUM(F124:F132)</f>
        <v>750</v>
      </c>
      <c r="G133" s="35">
        <f t="shared" ref="G133:J133" si="54">SUM(G124:G132)</f>
        <v>27.879999999999995</v>
      </c>
      <c r="H133" s="35">
        <f t="shared" si="54"/>
        <v>28.46</v>
      </c>
      <c r="I133" s="35">
        <f t="shared" si="54"/>
        <v>98.94</v>
      </c>
      <c r="J133" s="35">
        <f t="shared" si="54"/>
        <v>764.17</v>
      </c>
      <c r="K133" s="79"/>
      <c r="L133" s="35">
        <f t="shared" ref="L133" si="55">SUM(L124:L132)</f>
        <v>116.06999999999998</v>
      </c>
    </row>
    <row r="134" spans="1:12" ht="15.75">
      <c r="A134" s="51">
        <f>A117</f>
        <v>2</v>
      </c>
      <c r="B134" s="51">
        <f>B117</f>
        <v>2</v>
      </c>
      <c r="C134" s="126" t="s">
        <v>48</v>
      </c>
      <c r="D134" s="127"/>
      <c r="E134" s="43"/>
      <c r="F134" s="52">
        <f>F123+F133</f>
        <v>1274</v>
      </c>
      <c r="G134" s="52">
        <f t="shared" ref="G134" si="56">G123+G133</f>
        <v>72.384</v>
      </c>
      <c r="H134" s="52">
        <f t="shared" ref="H134" si="57">H123+H133</f>
        <v>60.72</v>
      </c>
      <c r="I134" s="52">
        <f t="shared" ref="I134" si="58">I123+I133</f>
        <v>200.97199999999998</v>
      </c>
      <c r="J134" s="52">
        <f t="shared" ref="J134:L134" si="59">J123+J133</f>
        <v>1638.58</v>
      </c>
      <c r="K134" s="44"/>
      <c r="L134" s="52">
        <f t="shared" si="59"/>
        <v>232.14</v>
      </c>
    </row>
    <row r="135" spans="1:12" ht="15.75">
      <c r="A135" s="13">
        <v>2</v>
      </c>
      <c r="B135" s="14">
        <v>3</v>
      </c>
      <c r="C135" s="15" t="s">
        <v>23</v>
      </c>
      <c r="D135" s="16" t="s">
        <v>24</v>
      </c>
      <c r="E135" s="46" t="s">
        <v>97</v>
      </c>
      <c r="F135" s="27">
        <v>90</v>
      </c>
      <c r="G135" s="27">
        <f>F135*11.6/90</f>
        <v>11.6</v>
      </c>
      <c r="H135" s="27">
        <f>F135*12.1/90-0.03</f>
        <v>12.07</v>
      </c>
      <c r="I135" s="27">
        <f>F135*13.1/90</f>
        <v>13.1</v>
      </c>
      <c r="J135" s="27">
        <f>F135*207.7/90</f>
        <v>207.7</v>
      </c>
      <c r="K135" s="60">
        <v>44533</v>
      </c>
      <c r="L135" s="61">
        <v>61.99</v>
      </c>
    </row>
    <row r="136" spans="1:12" ht="15.75">
      <c r="A136" s="18"/>
      <c r="B136" s="19"/>
      <c r="C136" s="20"/>
      <c r="D136" s="21" t="s">
        <v>41</v>
      </c>
      <c r="E136" s="54" t="s">
        <v>98</v>
      </c>
      <c r="F136" s="48">
        <v>150</v>
      </c>
      <c r="G136" s="48">
        <f>F136*3.25/150</f>
        <v>3.25</v>
      </c>
      <c r="H136" s="48">
        <f>F136*2.85/150</f>
        <v>2.85</v>
      </c>
      <c r="I136" s="48">
        <f>F136*11.9/150</f>
        <v>11.9</v>
      </c>
      <c r="J136" s="48">
        <f>F136*87/150</f>
        <v>87</v>
      </c>
      <c r="K136" s="62">
        <v>36.799999999999997</v>
      </c>
      <c r="L136" s="49">
        <v>16.329999999999998</v>
      </c>
    </row>
    <row r="137" spans="1:12" ht="15.75">
      <c r="A137" s="18"/>
      <c r="B137" s="19"/>
      <c r="C137" s="20"/>
      <c r="D137" s="24" t="s">
        <v>26</v>
      </c>
      <c r="E137" s="46" t="s">
        <v>83</v>
      </c>
      <c r="F137" s="48">
        <v>200</v>
      </c>
      <c r="G137" s="48">
        <v>0.2</v>
      </c>
      <c r="H137" s="48">
        <v>0.1</v>
      </c>
      <c r="I137" s="48">
        <v>13.1</v>
      </c>
      <c r="J137" s="48">
        <v>54.1</v>
      </c>
      <c r="K137" s="71" t="s">
        <v>84</v>
      </c>
      <c r="L137" s="49">
        <v>7.86</v>
      </c>
    </row>
    <row r="138" spans="1:12" ht="15.75" customHeight="1">
      <c r="A138" s="18"/>
      <c r="B138" s="19"/>
      <c r="C138" s="20"/>
      <c r="D138" s="24" t="s">
        <v>28</v>
      </c>
      <c r="E138" s="26" t="s">
        <v>31</v>
      </c>
      <c r="F138" s="27">
        <v>50</v>
      </c>
      <c r="G138" s="27">
        <f>SUM(F138*6.1/50)</f>
        <v>6.1</v>
      </c>
      <c r="H138" s="27">
        <f>SUM(F138*3.7/50)</f>
        <v>3.7</v>
      </c>
      <c r="I138" s="27">
        <f>SUM(F138*17.5/50)</f>
        <v>17.5</v>
      </c>
      <c r="J138" s="27">
        <f>SUM(F138*127.7/50)</f>
        <v>127.7</v>
      </c>
      <c r="K138" s="63">
        <v>44240</v>
      </c>
      <c r="L138" s="49">
        <v>27.87</v>
      </c>
    </row>
    <row r="139" spans="1:12" ht="15.75">
      <c r="A139" s="18"/>
      <c r="B139" s="19"/>
      <c r="C139" s="20"/>
      <c r="D139" s="24" t="s">
        <v>28</v>
      </c>
      <c r="E139" s="40" t="s">
        <v>142</v>
      </c>
      <c r="F139" s="48">
        <v>30</v>
      </c>
      <c r="G139" s="48">
        <f>SUM(F139*1.68/30)</f>
        <v>1.68</v>
      </c>
      <c r="H139" s="48">
        <f>SUM(F139*0.33/30)</f>
        <v>0.33</v>
      </c>
      <c r="I139" s="48">
        <f>SUM(F139*14.82/30)</f>
        <v>14.82</v>
      </c>
      <c r="J139" s="48">
        <f>SUM(F139*68.97/30)</f>
        <v>68.97</v>
      </c>
      <c r="K139" s="69" t="s">
        <v>50</v>
      </c>
      <c r="L139" s="49">
        <v>2.02</v>
      </c>
    </row>
    <row r="140" spans="1:12" ht="15.75">
      <c r="A140" s="18"/>
      <c r="B140" s="19"/>
      <c r="C140" s="20"/>
      <c r="D140" s="21"/>
      <c r="E140" s="47"/>
      <c r="F140" s="48"/>
      <c r="G140" s="48"/>
      <c r="H140" s="48"/>
      <c r="I140" s="48"/>
      <c r="J140" s="48"/>
      <c r="K140" s="62"/>
      <c r="L140" s="49"/>
    </row>
    <row r="141" spans="1:12" ht="15.75">
      <c r="A141" s="18"/>
      <c r="B141" s="19"/>
      <c r="C141" s="20"/>
      <c r="D141" s="21"/>
      <c r="E141" s="22"/>
      <c r="F141" s="49"/>
      <c r="G141" s="49"/>
      <c r="H141" s="49"/>
      <c r="I141" s="49"/>
      <c r="J141" s="49"/>
      <c r="K141" s="62"/>
      <c r="L141" s="49"/>
    </row>
    <row r="142" spans="1:12" ht="15.75">
      <c r="A142" s="29"/>
      <c r="B142" s="30"/>
      <c r="C142" s="31"/>
      <c r="D142" s="32" t="s">
        <v>34</v>
      </c>
      <c r="E142" s="33"/>
      <c r="F142" s="35">
        <f>SUM(F135:F141)</f>
        <v>520</v>
      </c>
      <c r="G142" s="35">
        <f t="shared" ref="G142:J142" si="60">SUM(G135:G141)</f>
        <v>22.83</v>
      </c>
      <c r="H142" s="35">
        <f>SUM(H135:H141)+0.01</f>
        <v>19.059999999999999</v>
      </c>
      <c r="I142" s="35">
        <f t="shared" si="60"/>
        <v>70.42</v>
      </c>
      <c r="J142" s="35">
        <f t="shared" si="60"/>
        <v>545.47</v>
      </c>
      <c r="K142" s="79"/>
      <c r="L142" s="35">
        <f>SUM(L135:L141)</f>
        <v>116.07</v>
      </c>
    </row>
    <row r="143" spans="1:12" ht="31.5">
      <c r="A143" s="36">
        <f>A135</f>
        <v>2</v>
      </c>
      <c r="B143" s="37">
        <f>B135</f>
        <v>3</v>
      </c>
      <c r="C143" s="38" t="s">
        <v>35</v>
      </c>
      <c r="D143" s="24" t="s">
        <v>36</v>
      </c>
      <c r="E143" s="28" t="s">
        <v>116</v>
      </c>
      <c r="F143" s="27">
        <v>60</v>
      </c>
      <c r="G143" s="27">
        <f>F143*0.6/60</f>
        <v>0.6</v>
      </c>
      <c r="H143" s="27">
        <f>F143*6/60</f>
        <v>6</v>
      </c>
      <c r="I143" s="27">
        <f>F143*4.76/60</f>
        <v>4.76</v>
      </c>
      <c r="J143" s="27">
        <f>F143*75.44/60</f>
        <v>75.44</v>
      </c>
      <c r="K143" s="65" t="s">
        <v>117</v>
      </c>
      <c r="L143" s="49">
        <v>12.81</v>
      </c>
    </row>
    <row r="144" spans="1:12" ht="31.5">
      <c r="A144" s="18"/>
      <c r="B144" s="19"/>
      <c r="C144" s="20"/>
      <c r="D144" s="24" t="s">
        <v>37</v>
      </c>
      <c r="E144" s="53" t="s">
        <v>99</v>
      </c>
      <c r="F144" s="27">
        <v>200</v>
      </c>
      <c r="G144" s="27">
        <f>F144*1.9/250+0.3+1.6</f>
        <v>3.42</v>
      </c>
      <c r="H144" s="27">
        <f>F144*4.1/250+1.7</f>
        <v>4.9799999999999995</v>
      </c>
      <c r="I144" s="27">
        <f>F144*8/250+0.6</f>
        <v>7</v>
      </c>
      <c r="J144" s="27">
        <f>F144*77/250+3+22.6</f>
        <v>87.199999999999989</v>
      </c>
      <c r="K144" s="66">
        <v>44379</v>
      </c>
      <c r="L144" s="49">
        <v>17.829999999999998</v>
      </c>
    </row>
    <row r="145" spans="1:12" ht="15.75">
      <c r="A145" s="18"/>
      <c r="B145" s="19"/>
      <c r="C145" s="20"/>
      <c r="D145" s="24" t="s">
        <v>39</v>
      </c>
      <c r="E145" s="53" t="s">
        <v>57</v>
      </c>
      <c r="F145" s="27">
        <v>90</v>
      </c>
      <c r="G145" s="27">
        <f>F145*17.19/90</f>
        <v>17.190000000000001</v>
      </c>
      <c r="H145" s="27">
        <f>F145*14.31/90</f>
        <v>14.31</v>
      </c>
      <c r="I145" s="27">
        <f>F145*0.18/90</f>
        <v>0.18</v>
      </c>
      <c r="J145" s="27">
        <f>F145*198/90</f>
        <v>198</v>
      </c>
      <c r="K145" s="68">
        <v>4232</v>
      </c>
      <c r="L145" s="49">
        <v>51.74</v>
      </c>
    </row>
    <row r="146" spans="1:12" ht="15.75">
      <c r="A146" s="18"/>
      <c r="B146" s="19"/>
      <c r="C146" s="20"/>
      <c r="D146" s="24" t="s">
        <v>41</v>
      </c>
      <c r="E146" s="40" t="s">
        <v>42</v>
      </c>
      <c r="F146" s="17">
        <v>150</v>
      </c>
      <c r="G146" s="27">
        <f>F146*5.3/150</f>
        <v>5.3</v>
      </c>
      <c r="H146" s="27">
        <f>F146*3/150</f>
        <v>3</v>
      </c>
      <c r="I146" s="27">
        <f>F146*32.4/150</f>
        <v>32.4</v>
      </c>
      <c r="J146" s="27">
        <f>F146*178/150</f>
        <v>178</v>
      </c>
      <c r="K146" s="93" t="s">
        <v>105</v>
      </c>
      <c r="L146" s="49">
        <v>9.83</v>
      </c>
    </row>
    <row r="147" spans="1:12" ht="15.75">
      <c r="A147" s="18"/>
      <c r="B147" s="19"/>
      <c r="C147" s="20"/>
      <c r="D147" s="24" t="s">
        <v>43</v>
      </c>
      <c r="E147" s="26" t="s">
        <v>100</v>
      </c>
      <c r="F147" s="27">
        <v>200</v>
      </c>
      <c r="G147" s="27">
        <v>0.2</v>
      </c>
      <c r="H147" s="27">
        <v>0</v>
      </c>
      <c r="I147" s="27">
        <v>11.9</v>
      </c>
      <c r="J147" s="27">
        <v>48</v>
      </c>
      <c r="K147" s="62">
        <v>44387</v>
      </c>
      <c r="L147" s="49">
        <v>16.420000000000002</v>
      </c>
    </row>
    <row r="148" spans="1:12" ht="15.75">
      <c r="A148" s="18"/>
      <c r="B148" s="19"/>
      <c r="C148" s="20"/>
      <c r="D148" s="24" t="s">
        <v>45</v>
      </c>
      <c r="E148" s="28" t="s">
        <v>46</v>
      </c>
      <c r="F148" s="27">
        <v>50</v>
      </c>
      <c r="G148" s="27">
        <f>SUM(F148*2.37/30)</f>
        <v>3.95</v>
      </c>
      <c r="H148" s="27">
        <f>SUM(F148*0.3/30)</f>
        <v>0.5</v>
      </c>
      <c r="I148" s="27">
        <f>SUM(F148*14.49/30)</f>
        <v>24.15</v>
      </c>
      <c r="J148" s="27">
        <f>SUM(F148*70.14/30)</f>
        <v>116.9</v>
      </c>
      <c r="K148" s="69" t="s">
        <v>30</v>
      </c>
      <c r="L148" s="49">
        <v>3.72</v>
      </c>
    </row>
    <row r="149" spans="1:12" ht="15.75">
      <c r="A149" s="18"/>
      <c r="B149" s="19"/>
      <c r="C149" s="20"/>
      <c r="D149" s="24" t="s">
        <v>47</v>
      </c>
      <c r="E149" s="40" t="s">
        <v>29</v>
      </c>
      <c r="F149" s="27">
        <v>50</v>
      </c>
      <c r="G149" s="27">
        <f>SUM(F149*1.68/30)</f>
        <v>2.8</v>
      </c>
      <c r="H149" s="27">
        <f>SUM(F149*0.33/30)</f>
        <v>0.55000000000000004</v>
      </c>
      <c r="I149" s="27">
        <f>SUM(F149*14.82/30)</f>
        <v>24.7</v>
      </c>
      <c r="J149" s="27">
        <f>SUM(F149*68.97/30)</f>
        <v>114.95</v>
      </c>
      <c r="K149" s="69" t="s">
        <v>50</v>
      </c>
      <c r="L149" s="49">
        <v>3.72</v>
      </c>
    </row>
    <row r="150" spans="1:12" ht="15.75">
      <c r="A150" s="18"/>
      <c r="B150" s="19"/>
      <c r="C150" s="20"/>
      <c r="D150" s="21"/>
      <c r="E150" s="22"/>
      <c r="F150" s="49"/>
      <c r="G150" s="49"/>
      <c r="H150" s="49"/>
      <c r="I150" s="49"/>
      <c r="J150" s="49"/>
      <c r="K150" s="62"/>
      <c r="L150" s="49"/>
    </row>
    <row r="151" spans="1:12" ht="15.75">
      <c r="A151" s="18"/>
      <c r="B151" s="19"/>
      <c r="C151" s="20"/>
      <c r="D151" s="21"/>
      <c r="E151" s="22"/>
      <c r="F151" s="49"/>
      <c r="G151" s="49"/>
      <c r="H151" s="49"/>
      <c r="I151" s="49"/>
      <c r="J151" s="49"/>
      <c r="K151" s="62"/>
      <c r="L151" s="49"/>
    </row>
    <row r="152" spans="1:12" ht="15.75">
      <c r="A152" s="29"/>
      <c r="B152" s="30"/>
      <c r="C152" s="31"/>
      <c r="D152" s="32" t="s">
        <v>34</v>
      </c>
      <c r="E152" s="33"/>
      <c r="F152" s="35">
        <f>SUM(F143:F151)</f>
        <v>800</v>
      </c>
      <c r="G152" s="35">
        <f t="shared" ref="G152:J152" si="61">SUM(G143:G151)</f>
        <v>33.46</v>
      </c>
      <c r="H152" s="35">
        <f t="shared" si="61"/>
        <v>29.34</v>
      </c>
      <c r="I152" s="35">
        <f t="shared" si="61"/>
        <v>105.08999999999999</v>
      </c>
      <c r="J152" s="35">
        <f t="shared" si="61"/>
        <v>818.49</v>
      </c>
      <c r="K152" s="64"/>
      <c r="L152" s="35">
        <f t="shared" ref="L152" si="62">SUM(L143:L151)</f>
        <v>116.07</v>
      </c>
    </row>
    <row r="153" spans="1:12" ht="16.5" thickBot="1">
      <c r="A153" s="41">
        <f>A135</f>
        <v>2</v>
      </c>
      <c r="B153" s="42">
        <f>B135</f>
        <v>3</v>
      </c>
      <c r="C153" s="126" t="s">
        <v>48</v>
      </c>
      <c r="D153" s="127"/>
      <c r="E153" s="43"/>
      <c r="F153" s="52">
        <f>F142+F152</f>
        <v>1320</v>
      </c>
      <c r="G153" s="52">
        <f t="shared" ref="G153" si="63">G142+G152</f>
        <v>56.29</v>
      </c>
      <c r="H153" s="52">
        <f t="shared" ref="H153" si="64">H142+H152</f>
        <v>48.4</v>
      </c>
      <c r="I153" s="52">
        <f t="shared" ref="I153" si="65">I142+I152</f>
        <v>175.51</v>
      </c>
      <c r="J153" s="52">
        <f t="shared" ref="J153" si="66">J142+J152</f>
        <v>1363.96</v>
      </c>
      <c r="K153" s="44"/>
      <c r="L153" s="52">
        <f>L142+L152</f>
        <v>232.14</v>
      </c>
    </row>
    <row r="154" spans="1:12" ht="15.75">
      <c r="A154" s="18">
        <v>2</v>
      </c>
      <c r="B154" s="19">
        <v>4</v>
      </c>
      <c r="C154" s="15" t="s">
        <v>23</v>
      </c>
      <c r="D154" s="21" t="s">
        <v>24</v>
      </c>
      <c r="E154" s="55" t="s">
        <v>101</v>
      </c>
      <c r="F154" s="56">
        <v>100</v>
      </c>
      <c r="G154" s="48">
        <f>F154*9.7/100</f>
        <v>9.6999999999999993</v>
      </c>
      <c r="H154" s="48">
        <f>F154*10.6/100</f>
        <v>10.6</v>
      </c>
      <c r="I154" s="48">
        <f>F154*1.7/100</f>
        <v>1.7</v>
      </c>
      <c r="J154" s="48">
        <f>F154*141/100</f>
        <v>141</v>
      </c>
      <c r="K154" s="80">
        <v>44417</v>
      </c>
      <c r="L154" s="49">
        <v>69.209999999999994</v>
      </c>
    </row>
    <row r="155" spans="1:12" ht="15.75">
      <c r="A155" s="18"/>
      <c r="B155" s="19"/>
      <c r="C155" s="20"/>
      <c r="D155" s="24" t="s">
        <v>41</v>
      </c>
      <c r="E155" s="26" t="s">
        <v>54</v>
      </c>
      <c r="F155" s="27">
        <v>150</v>
      </c>
      <c r="G155" s="27">
        <f>F155*3.75/150</f>
        <v>3.75</v>
      </c>
      <c r="H155" s="27">
        <f>F155*7.1/150</f>
        <v>7.1</v>
      </c>
      <c r="I155" s="27">
        <f>F155*37.7/150</f>
        <v>37.700000000000003</v>
      </c>
      <c r="J155" s="27">
        <f>F155*230.02/150</f>
        <v>230.02</v>
      </c>
      <c r="K155" s="62" t="s">
        <v>90</v>
      </c>
      <c r="L155" s="49">
        <v>12.97</v>
      </c>
    </row>
    <row r="156" spans="1:12" ht="15.75">
      <c r="A156" s="18"/>
      <c r="B156" s="19"/>
      <c r="C156" s="20"/>
      <c r="D156" s="24" t="s">
        <v>26</v>
      </c>
      <c r="E156" s="26" t="s">
        <v>78</v>
      </c>
      <c r="F156" s="48">
        <v>200</v>
      </c>
      <c r="G156" s="48">
        <v>3.6</v>
      </c>
      <c r="H156" s="48">
        <v>3.3</v>
      </c>
      <c r="I156" s="48">
        <v>22.8</v>
      </c>
      <c r="J156" s="48">
        <v>135</v>
      </c>
      <c r="K156" s="75" t="s">
        <v>79</v>
      </c>
      <c r="L156" s="49">
        <v>16.12</v>
      </c>
    </row>
    <row r="157" spans="1:12" ht="15.75">
      <c r="A157" s="18"/>
      <c r="B157" s="19"/>
      <c r="C157" s="20"/>
      <c r="D157" s="24" t="s">
        <v>45</v>
      </c>
      <c r="E157" s="28" t="s">
        <v>46</v>
      </c>
      <c r="F157" s="27">
        <v>36</v>
      </c>
      <c r="G157" s="27">
        <f>SUM(F157*2.37/30)</f>
        <v>2.8440000000000003</v>
      </c>
      <c r="H157" s="27">
        <f>SUM(F157*0.3/30)</f>
        <v>0.36</v>
      </c>
      <c r="I157" s="27">
        <f>SUM(F157*14.49/30)</f>
        <v>17.387999999999998</v>
      </c>
      <c r="J157" s="27">
        <f>SUM(F157*70.14/30)</f>
        <v>84.167999999999992</v>
      </c>
      <c r="K157" s="62" t="s">
        <v>30</v>
      </c>
      <c r="L157" s="49">
        <v>3.02</v>
      </c>
    </row>
    <row r="158" spans="1:12" ht="15.75">
      <c r="A158" s="18"/>
      <c r="B158" s="19"/>
      <c r="C158" s="20"/>
      <c r="D158" s="24" t="s">
        <v>47</v>
      </c>
      <c r="E158" s="40" t="s">
        <v>142</v>
      </c>
      <c r="F158" s="27">
        <v>30</v>
      </c>
      <c r="G158" s="27">
        <f>SUM(F158*1.68/30)</f>
        <v>1.68</v>
      </c>
      <c r="H158" s="27">
        <f>SUM(F158*0.33/30)</f>
        <v>0.33</v>
      </c>
      <c r="I158" s="27">
        <f>SUM(F158*14.82/30)</f>
        <v>14.82</v>
      </c>
      <c r="J158" s="27">
        <f>SUM(F158*68.97/30)</f>
        <v>68.97</v>
      </c>
      <c r="K158" s="62" t="s">
        <v>50</v>
      </c>
      <c r="L158" s="49">
        <v>2.41</v>
      </c>
    </row>
    <row r="159" spans="1:12" ht="15.75">
      <c r="A159" s="18"/>
      <c r="B159" s="19"/>
      <c r="C159" s="20"/>
      <c r="D159" s="24"/>
      <c r="E159" s="124" t="s">
        <v>141</v>
      </c>
      <c r="F159" s="27">
        <v>30</v>
      </c>
      <c r="G159" s="27">
        <f>F159*0.4/40</f>
        <v>0.3</v>
      </c>
      <c r="H159" s="27">
        <f>F159*0.07/40</f>
        <v>5.2500000000000005E-2</v>
      </c>
      <c r="I159" s="27">
        <f>F159*1.53/40</f>
        <v>1.1475</v>
      </c>
      <c r="J159" s="27">
        <f>F159*8.67/40</f>
        <v>6.5025000000000004</v>
      </c>
      <c r="K159" s="62">
        <v>2</v>
      </c>
      <c r="L159" s="49">
        <v>12.34</v>
      </c>
    </row>
    <row r="160" spans="1:12" ht="15.75">
      <c r="A160" s="29"/>
      <c r="B160" s="30"/>
      <c r="C160" s="31"/>
      <c r="D160" s="32" t="s">
        <v>34</v>
      </c>
      <c r="E160" s="33"/>
      <c r="F160" s="35">
        <f>SUM(F154:F159)</f>
        <v>546</v>
      </c>
      <c r="G160" s="35">
        <f>SUM(G154:G159)</f>
        <v>21.874000000000002</v>
      </c>
      <c r="H160" s="35">
        <f>SUM(H154:H159)</f>
        <v>21.742499999999996</v>
      </c>
      <c r="I160" s="35">
        <f>SUM(I154:I159)+0.01</f>
        <v>95.565499999999986</v>
      </c>
      <c r="J160" s="35">
        <f>SUM(J154:J159)</f>
        <v>665.66050000000007</v>
      </c>
      <c r="K160" s="64"/>
      <c r="L160" s="35">
        <f>SUM(L154:L159)</f>
        <v>116.07</v>
      </c>
    </row>
    <row r="161" spans="1:12" ht="15.75">
      <c r="A161" s="36">
        <v>2</v>
      </c>
      <c r="B161" s="37">
        <v>4</v>
      </c>
      <c r="C161" s="38" t="s">
        <v>35</v>
      </c>
      <c r="D161" s="24" t="s">
        <v>36</v>
      </c>
      <c r="E161" s="54" t="s">
        <v>102</v>
      </c>
      <c r="F161" s="48">
        <v>60</v>
      </c>
      <c r="G161" s="27">
        <f>F161*1.3/100</f>
        <v>0.78</v>
      </c>
      <c r="H161" s="27">
        <f>F161*8.9/100</f>
        <v>5.34</v>
      </c>
      <c r="I161" s="27">
        <f>F161*6.7/100</f>
        <v>4.0199999999999996</v>
      </c>
      <c r="J161" s="27">
        <f>F161*112/100</f>
        <v>67.2</v>
      </c>
      <c r="K161" s="62">
        <v>72</v>
      </c>
      <c r="L161" s="49">
        <v>9.2799999999999994</v>
      </c>
    </row>
    <row r="162" spans="1:12" ht="15.75">
      <c r="A162" s="18"/>
      <c r="B162" s="19"/>
      <c r="C162" s="20"/>
      <c r="D162" s="24" t="s">
        <v>37</v>
      </c>
      <c r="E162" s="100" t="s">
        <v>135</v>
      </c>
      <c r="F162" s="27">
        <v>200</v>
      </c>
      <c r="G162" s="48">
        <f>F162*2.5/250+0.2+1.7</f>
        <v>3.9000000000000004</v>
      </c>
      <c r="H162" s="48">
        <f>F162*5.4/250+1.7</f>
        <v>6.0200000000000005</v>
      </c>
      <c r="I162" s="48">
        <f>F162*16.6/250+1</f>
        <v>14.280000000000001</v>
      </c>
      <c r="J162" s="48">
        <f>F162*125/250+3+22.6</f>
        <v>125.6</v>
      </c>
      <c r="K162" s="62">
        <v>44502</v>
      </c>
      <c r="L162" s="49">
        <v>14.6</v>
      </c>
    </row>
    <row r="163" spans="1:12" ht="15.75">
      <c r="A163" s="18"/>
      <c r="B163" s="19"/>
      <c r="C163" s="20"/>
      <c r="D163" s="24" t="s">
        <v>39</v>
      </c>
      <c r="E163" s="53" t="s">
        <v>103</v>
      </c>
      <c r="F163" s="27">
        <v>110</v>
      </c>
      <c r="G163" s="48">
        <f>F163*13.1/130</f>
        <v>11.084615384615384</v>
      </c>
      <c r="H163" s="48">
        <f>F163*9.2/130</f>
        <v>7.7846153846153836</v>
      </c>
      <c r="I163" s="48">
        <f>F163*11.8/130</f>
        <v>9.9846153846153847</v>
      </c>
      <c r="J163" s="48">
        <f>F163*183/130</f>
        <v>154.84615384615384</v>
      </c>
      <c r="K163" s="62">
        <v>18.7</v>
      </c>
      <c r="L163" s="49">
        <v>61.86</v>
      </c>
    </row>
    <row r="164" spans="1:12" ht="15.75">
      <c r="A164" s="18"/>
      <c r="B164" s="19"/>
      <c r="C164" s="20"/>
      <c r="D164" s="24" t="s">
        <v>41</v>
      </c>
      <c r="E164" s="54" t="s">
        <v>77</v>
      </c>
      <c r="F164" s="27">
        <v>150</v>
      </c>
      <c r="G164" s="27">
        <f>F164*3.17/150</f>
        <v>3.17</v>
      </c>
      <c r="H164" s="27">
        <f>F164*3.67/150</f>
        <v>3.67</v>
      </c>
      <c r="I164" s="27">
        <f>F164*20.4/150</f>
        <v>20.399999999999999</v>
      </c>
      <c r="J164" s="48">
        <f>F164*127.5/150</f>
        <v>127.5</v>
      </c>
      <c r="K164" s="62">
        <v>44258</v>
      </c>
      <c r="L164" s="49">
        <v>20.34</v>
      </c>
    </row>
    <row r="165" spans="1:12" ht="15.75">
      <c r="A165" s="18"/>
      <c r="B165" s="19"/>
      <c r="C165" s="20"/>
      <c r="D165" s="24" t="s">
        <v>43</v>
      </c>
      <c r="E165" s="54" t="s">
        <v>64</v>
      </c>
      <c r="F165" s="27">
        <v>200</v>
      </c>
      <c r="G165" s="27">
        <v>0</v>
      </c>
      <c r="H165" s="27">
        <v>0</v>
      </c>
      <c r="I165" s="27">
        <v>27.8</v>
      </c>
      <c r="J165" s="27">
        <v>111</v>
      </c>
      <c r="K165" s="62">
        <v>948</v>
      </c>
      <c r="L165" s="49">
        <v>5.36</v>
      </c>
    </row>
    <row r="166" spans="1:12" ht="15.75">
      <c r="A166" s="18"/>
      <c r="B166" s="19"/>
      <c r="C166" s="20"/>
      <c r="D166" s="24" t="s">
        <v>45</v>
      </c>
      <c r="E166" s="28" t="s">
        <v>46</v>
      </c>
      <c r="F166" s="27">
        <v>50</v>
      </c>
      <c r="G166" s="27">
        <f>SUM(F166*2.37/30)</f>
        <v>3.95</v>
      </c>
      <c r="H166" s="27">
        <f>SUM(F166*0.3/30)</f>
        <v>0.5</v>
      </c>
      <c r="I166" s="27">
        <f>SUM(F166*14.49/30)</f>
        <v>24.15</v>
      </c>
      <c r="J166" s="27">
        <f>SUM(F166*70.14/30)</f>
        <v>116.9</v>
      </c>
      <c r="K166" s="69" t="s">
        <v>30</v>
      </c>
      <c r="L166" s="49">
        <v>2.5299999999999998</v>
      </c>
    </row>
    <row r="167" spans="1:12" ht="15.75">
      <c r="A167" s="18"/>
      <c r="B167" s="19"/>
      <c r="C167" s="20"/>
      <c r="D167" s="24" t="s">
        <v>47</v>
      </c>
      <c r="E167" s="40" t="s">
        <v>142</v>
      </c>
      <c r="F167" s="27">
        <v>40</v>
      </c>
      <c r="G167" s="27">
        <f>SUM(F167*1.68/30)</f>
        <v>2.2400000000000002</v>
      </c>
      <c r="H167" s="27">
        <f>SUM(F167*0.33/30)</f>
        <v>0.44000000000000006</v>
      </c>
      <c r="I167" s="27">
        <f>SUM(F167*14.82/30)</f>
        <v>19.759999999999998</v>
      </c>
      <c r="J167" s="27">
        <f>SUM(F167*68.97/30)</f>
        <v>91.960000000000008</v>
      </c>
      <c r="K167" s="69" t="s">
        <v>50</v>
      </c>
      <c r="L167" s="49">
        <v>2.1</v>
      </c>
    </row>
    <row r="168" spans="1:12" ht="15.75">
      <c r="A168" s="18"/>
      <c r="B168" s="19"/>
      <c r="C168" s="20"/>
      <c r="D168" s="21"/>
      <c r="E168" s="22"/>
      <c r="F168" s="49"/>
      <c r="G168" s="49"/>
      <c r="H168" s="49"/>
      <c r="I168" s="49"/>
      <c r="J168" s="49"/>
      <c r="K168" s="62"/>
      <c r="L168" s="49"/>
    </row>
    <row r="169" spans="1:12" ht="15.75">
      <c r="A169" s="18"/>
      <c r="B169" s="19"/>
      <c r="C169" s="20"/>
      <c r="D169" s="21"/>
      <c r="E169" s="22"/>
      <c r="F169" s="49"/>
      <c r="G169" s="49"/>
      <c r="H169" s="49"/>
      <c r="I169" s="49"/>
      <c r="J169" s="49"/>
      <c r="K169" s="62"/>
      <c r="L169" s="49"/>
    </row>
    <row r="170" spans="1:12" ht="15.75">
      <c r="A170" s="29"/>
      <c r="B170" s="30"/>
      <c r="C170" s="31"/>
      <c r="D170" s="32" t="s">
        <v>34</v>
      </c>
      <c r="E170" s="33"/>
      <c r="F170" s="35">
        <f>SUM(F161:F169)</f>
        <v>810</v>
      </c>
      <c r="G170" s="35">
        <f t="shared" ref="G170:J170" si="67">SUM(G161:G169)</f>
        <v>25.124615384615382</v>
      </c>
      <c r="H170" s="35">
        <f t="shared" si="67"/>
        <v>23.754615384615388</v>
      </c>
      <c r="I170" s="35">
        <f t="shared" si="67"/>
        <v>120.39461538461538</v>
      </c>
      <c r="J170" s="35">
        <f t="shared" si="67"/>
        <v>795.00615384615389</v>
      </c>
      <c r="K170" s="79"/>
      <c r="L170" s="35">
        <f t="shared" ref="L170" si="68">SUM(L161:L169)</f>
        <v>116.07</v>
      </c>
    </row>
    <row r="171" spans="1:12" ht="16.5" thickBot="1">
      <c r="A171" s="41">
        <v>2</v>
      </c>
      <c r="B171" s="42">
        <v>4</v>
      </c>
      <c r="C171" s="126" t="s">
        <v>48</v>
      </c>
      <c r="D171" s="127"/>
      <c r="E171" s="43"/>
      <c r="F171" s="52">
        <f>F160+F170</f>
        <v>1356</v>
      </c>
      <c r="G171" s="52">
        <f t="shared" ref="G171" si="69">G160+G170</f>
        <v>46.998615384615384</v>
      </c>
      <c r="H171" s="52">
        <f t="shared" ref="H171" si="70">H160+H170</f>
        <v>45.497115384615384</v>
      </c>
      <c r="I171" s="52">
        <f t="shared" ref="I171" si="71">I160+I170</f>
        <v>215.96011538461536</v>
      </c>
      <c r="J171" s="52">
        <f t="shared" ref="J171:L171" si="72">J160+J170</f>
        <v>1460.6666538461541</v>
      </c>
      <c r="K171" s="52"/>
      <c r="L171" s="52">
        <f t="shared" si="72"/>
        <v>232.14</v>
      </c>
    </row>
    <row r="172" spans="1:12" ht="15.75">
      <c r="A172" s="18">
        <v>2</v>
      </c>
      <c r="B172" s="19">
        <v>5</v>
      </c>
      <c r="C172" s="15" t="s">
        <v>23</v>
      </c>
      <c r="D172" s="16" t="s">
        <v>24</v>
      </c>
      <c r="E172" s="53" t="s">
        <v>104</v>
      </c>
      <c r="F172" s="27">
        <v>100</v>
      </c>
      <c r="G172" s="27">
        <f>F172*13.92/120</f>
        <v>11.6</v>
      </c>
      <c r="H172" s="27">
        <f>F172*14.52/120</f>
        <v>12.1</v>
      </c>
      <c r="I172" s="27">
        <f>F172*13.44/120</f>
        <v>11.2</v>
      </c>
      <c r="J172" s="27">
        <f>F172*240/120</f>
        <v>200</v>
      </c>
      <c r="K172" s="66">
        <v>44236</v>
      </c>
      <c r="L172" s="75">
        <v>62.04</v>
      </c>
    </row>
    <row r="173" spans="1:12" ht="15.75">
      <c r="A173" s="18"/>
      <c r="B173" s="19"/>
      <c r="C173" s="20"/>
      <c r="D173" s="21" t="s">
        <v>41</v>
      </c>
      <c r="E173" s="40" t="s">
        <v>42</v>
      </c>
      <c r="F173" s="17">
        <v>150</v>
      </c>
      <c r="G173" s="27">
        <f>F173*5.3/150</f>
        <v>5.3</v>
      </c>
      <c r="H173" s="27">
        <f>F173*3/150</f>
        <v>3</v>
      </c>
      <c r="I173" s="27">
        <f>F173*32.4/150</f>
        <v>32.4</v>
      </c>
      <c r="J173" s="27">
        <f>F173*178/150</f>
        <v>178</v>
      </c>
      <c r="K173" s="62" t="s">
        <v>105</v>
      </c>
      <c r="L173" s="75">
        <v>9.83</v>
      </c>
    </row>
    <row r="174" spans="1:12" ht="15.75">
      <c r="A174" s="18"/>
      <c r="B174" s="19"/>
      <c r="C174" s="20"/>
      <c r="D174" s="24" t="s">
        <v>43</v>
      </c>
      <c r="E174" s="54" t="s">
        <v>55</v>
      </c>
      <c r="F174" s="27">
        <v>200</v>
      </c>
      <c r="G174" s="27">
        <v>0</v>
      </c>
      <c r="H174" s="27">
        <v>0</v>
      </c>
      <c r="I174" s="27">
        <v>12</v>
      </c>
      <c r="J174" s="27">
        <v>48</v>
      </c>
      <c r="K174" s="81" t="s">
        <v>56</v>
      </c>
      <c r="L174" s="75">
        <v>12.37</v>
      </c>
    </row>
    <row r="175" spans="1:12" ht="15.75">
      <c r="A175" s="18"/>
      <c r="B175" s="19"/>
      <c r="C175" s="20"/>
      <c r="D175" s="24" t="s">
        <v>28</v>
      </c>
      <c r="E175" s="28" t="s">
        <v>46</v>
      </c>
      <c r="F175" s="27">
        <v>50</v>
      </c>
      <c r="G175" s="27">
        <f>SUM(F175*2.37/30)</f>
        <v>3.95</v>
      </c>
      <c r="H175" s="27">
        <f>SUM(F175*0.3/30)</f>
        <v>0.5</v>
      </c>
      <c r="I175" s="27">
        <f>SUM(F175*14.49/30)</f>
        <v>24.15</v>
      </c>
      <c r="J175" s="27">
        <f>SUM(F175*70.14/30)</f>
        <v>116.9</v>
      </c>
      <c r="K175" s="69" t="s">
        <v>30</v>
      </c>
      <c r="L175" s="75">
        <v>4.2</v>
      </c>
    </row>
    <row r="176" spans="1:12" ht="15.75">
      <c r="A176" s="18"/>
      <c r="B176" s="19"/>
      <c r="C176" s="20"/>
      <c r="D176" s="24" t="s">
        <v>28</v>
      </c>
      <c r="E176" s="40" t="s">
        <v>142</v>
      </c>
      <c r="F176" s="27">
        <v>30</v>
      </c>
      <c r="G176" s="27">
        <f>SUM(F176*1.68/30)</f>
        <v>1.68</v>
      </c>
      <c r="H176" s="27">
        <f>SUM(F176*0.33/30)</f>
        <v>0.33</v>
      </c>
      <c r="I176" s="27">
        <f>SUM(F176*14.82/30)</f>
        <v>14.82</v>
      </c>
      <c r="J176" s="27">
        <f>SUM(F176*68.97/30)</f>
        <v>68.97</v>
      </c>
      <c r="K176" s="69" t="s">
        <v>50</v>
      </c>
      <c r="L176" s="49">
        <v>2.4900000000000002</v>
      </c>
    </row>
    <row r="177" spans="1:12" ht="31.5">
      <c r="A177" s="18"/>
      <c r="B177" s="19"/>
      <c r="C177" s="20"/>
      <c r="D177" s="125"/>
      <c r="E177" s="53" t="s">
        <v>69</v>
      </c>
      <c r="F177" s="48">
        <v>60</v>
      </c>
      <c r="G177" s="27">
        <f>F177*0.72/60</f>
        <v>0.72</v>
      </c>
      <c r="H177" s="27">
        <f>F177*3.6/60</f>
        <v>3.6</v>
      </c>
      <c r="I177" s="27">
        <f>F177*9.72/60</f>
        <v>9.7200000000000006</v>
      </c>
      <c r="J177" s="27">
        <f>F177*74.16/60</f>
        <v>74.16</v>
      </c>
      <c r="K177" s="65" t="s">
        <v>70</v>
      </c>
      <c r="L177" s="119">
        <v>25.14</v>
      </c>
    </row>
    <row r="178" spans="1:12" ht="15.75" customHeight="1">
      <c r="A178" s="29"/>
      <c r="B178" s="30"/>
      <c r="C178" s="31"/>
      <c r="D178" s="32" t="s">
        <v>34</v>
      </c>
      <c r="E178" s="33"/>
      <c r="F178" s="35">
        <f>SUM(F172:F177)</f>
        <v>590</v>
      </c>
      <c r="G178" s="35">
        <f>SUM(G172:G177)</f>
        <v>23.249999999999996</v>
      </c>
      <c r="H178" s="35">
        <f>SUM(H172:H177)</f>
        <v>19.53</v>
      </c>
      <c r="I178" s="35">
        <f>SUM(I172:I177)</f>
        <v>104.28999999999999</v>
      </c>
      <c r="J178" s="35">
        <f>SUM(J172:J177)</f>
        <v>686.03</v>
      </c>
      <c r="K178" s="64"/>
      <c r="L178" s="35">
        <f>SUM(L172:L177)</f>
        <v>116.07000000000001</v>
      </c>
    </row>
    <row r="179" spans="1:12" ht="31.5">
      <c r="A179" s="36">
        <v>2</v>
      </c>
      <c r="B179" s="37">
        <v>5</v>
      </c>
      <c r="C179" s="38" t="s">
        <v>35</v>
      </c>
      <c r="D179" s="24" t="s">
        <v>36</v>
      </c>
      <c r="E179" s="96" t="s">
        <v>137</v>
      </c>
      <c r="F179" s="27">
        <v>60</v>
      </c>
      <c r="G179" s="27">
        <f>F179*0.77/60</f>
        <v>0.77</v>
      </c>
      <c r="H179" s="27">
        <f>F179*3.58/60</f>
        <v>3.58</v>
      </c>
      <c r="I179" s="27">
        <f>F179*3.6/60</f>
        <v>3.6</v>
      </c>
      <c r="J179" s="27">
        <f>F179*49.8/60</f>
        <v>49.8</v>
      </c>
      <c r="K179" s="101" t="s">
        <v>136</v>
      </c>
      <c r="L179" s="49">
        <v>7.11</v>
      </c>
    </row>
    <row r="180" spans="1:12" ht="31.5">
      <c r="A180" s="18"/>
      <c r="B180" s="19"/>
      <c r="C180" s="38"/>
      <c r="D180" s="24" t="s">
        <v>37</v>
      </c>
      <c r="E180" s="53" t="s">
        <v>106</v>
      </c>
      <c r="F180" s="78">
        <v>200</v>
      </c>
      <c r="G180" s="78">
        <f>F180*3.74/200</f>
        <v>3.74</v>
      </c>
      <c r="H180" s="78">
        <f>F180*6.42/200</f>
        <v>6.42</v>
      </c>
      <c r="I180" s="78">
        <f>F180*11.16/200</f>
        <v>11.16</v>
      </c>
      <c r="J180" s="78">
        <f>F180*117.6/200</f>
        <v>117.6</v>
      </c>
      <c r="K180" s="66" t="s">
        <v>107</v>
      </c>
      <c r="L180" s="49">
        <v>14.86</v>
      </c>
    </row>
    <row r="181" spans="1:12" ht="15.75">
      <c r="A181" s="18"/>
      <c r="B181" s="19"/>
      <c r="C181" s="20"/>
      <c r="D181" s="24" t="s">
        <v>39</v>
      </c>
      <c r="E181" s="39" t="s">
        <v>108</v>
      </c>
      <c r="F181" s="17">
        <v>90</v>
      </c>
      <c r="G181" s="27">
        <f>F181*11.68/90</f>
        <v>11.68</v>
      </c>
      <c r="H181" s="27">
        <f>F181*11.61/90</f>
        <v>11.609999999999998</v>
      </c>
      <c r="I181" s="27">
        <f>F181*5.76/90</f>
        <v>5.76</v>
      </c>
      <c r="J181" s="27">
        <f>F181*175/90</f>
        <v>175</v>
      </c>
      <c r="K181" s="102" t="s">
        <v>122</v>
      </c>
      <c r="L181" s="49">
        <v>69.08</v>
      </c>
    </row>
    <row r="182" spans="1:12" ht="15.75">
      <c r="A182" s="18"/>
      <c r="B182" s="19"/>
      <c r="C182" s="20"/>
      <c r="D182" s="24" t="s">
        <v>41</v>
      </c>
      <c r="E182" s="54" t="s">
        <v>110</v>
      </c>
      <c r="F182" s="78">
        <v>150</v>
      </c>
      <c r="G182" s="78">
        <f>F182*2.5/150</f>
        <v>2.5</v>
      </c>
      <c r="H182" s="78">
        <f>F182*4/150</f>
        <v>4</v>
      </c>
      <c r="I182" s="78">
        <f>F182*24.6/150</f>
        <v>24.6</v>
      </c>
      <c r="J182" s="78">
        <f>F182*144/150</f>
        <v>144</v>
      </c>
      <c r="K182" s="66" t="s">
        <v>111</v>
      </c>
      <c r="L182" s="49">
        <v>12.33</v>
      </c>
    </row>
    <row r="183" spans="1:12" ht="15.75">
      <c r="A183" s="18"/>
      <c r="B183" s="19"/>
      <c r="C183" s="20"/>
      <c r="D183" s="24" t="s">
        <v>43</v>
      </c>
      <c r="E183" s="26" t="s">
        <v>58</v>
      </c>
      <c r="F183" s="78">
        <v>200</v>
      </c>
      <c r="G183" s="78">
        <v>1</v>
      </c>
      <c r="H183" s="78">
        <v>0.1</v>
      </c>
      <c r="I183" s="78">
        <v>19.8</v>
      </c>
      <c r="J183" s="78">
        <v>84.1</v>
      </c>
      <c r="K183" s="66" t="s">
        <v>112</v>
      </c>
      <c r="L183" s="49">
        <v>6.82</v>
      </c>
    </row>
    <row r="184" spans="1:12" ht="15.75">
      <c r="A184" s="18"/>
      <c r="B184" s="19"/>
      <c r="C184" s="20"/>
      <c r="D184" s="24" t="s">
        <v>45</v>
      </c>
      <c r="E184" s="28" t="s">
        <v>46</v>
      </c>
      <c r="F184" s="27">
        <v>50</v>
      </c>
      <c r="G184" s="27">
        <f>SUM(F184*2.37/30)</f>
        <v>3.95</v>
      </c>
      <c r="H184" s="27">
        <f>SUM(F184*0.3/30)</f>
        <v>0.5</v>
      </c>
      <c r="I184" s="27">
        <f>SUM(F184*14.49/30)</f>
        <v>24.15</v>
      </c>
      <c r="J184" s="27">
        <f>SUM(F184*70.14/30)</f>
        <v>116.9</v>
      </c>
      <c r="K184" s="69" t="s">
        <v>30</v>
      </c>
      <c r="L184" s="49">
        <v>4.2</v>
      </c>
    </row>
    <row r="185" spans="1:12" ht="15.75">
      <c r="A185" s="18"/>
      <c r="B185" s="19"/>
      <c r="C185" s="20"/>
      <c r="D185" s="24" t="s">
        <v>47</v>
      </c>
      <c r="E185" s="40" t="s">
        <v>142</v>
      </c>
      <c r="F185" s="27">
        <v>30</v>
      </c>
      <c r="G185" s="27">
        <f>SUM(F185*1.68/30)</f>
        <v>1.68</v>
      </c>
      <c r="H185" s="27">
        <f>SUM(F185*0.33/30)</f>
        <v>0.33</v>
      </c>
      <c r="I185" s="27">
        <f>SUM(F185*14.82/30)</f>
        <v>14.82</v>
      </c>
      <c r="J185" s="27">
        <f>SUM(F185*68.97/30)</f>
        <v>68.97</v>
      </c>
      <c r="K185" s="69" t="s">
        <v>50</v>
      </c>
      <c r="L185" s="49">
        <v>1.67</v>
      </c>
    </row>
    <row r="186" spans="1:12" ht="15.75">
      <c r="A186" s="18"/>
      <c r="B186" s="19"/>
      <c r="C186" s="20"/>
      <c r="D186" s="21"/>
      <c r="E186" s="22"/>
      <c r="F186" s="78"/>
      <c r="G186" s="49"/>
      <c r="H186" s="49"/>
      <c r="I186" s="49"/>
      <c r="J186" s="49"/>
      <c r="K186" s="62"/>
      <c r="L186" s="49"/>
    </row>
    <row r="187" spans="1:12" ht="15.75">
      <c r="A187" s="18"/>
      <c r="B187" s="19"/>
      <c r="C187" s="20"/>
      <c r="D187" s="21"/>
      <c r="E187" s="22"/>
      <c r="F187" s="78"/>
      <c r="G187" s="49"/>
      <c r="H187" s="49"/>
      <c r="I187" s="49"/>
      <c r="J187" s="49"/>
      <c r="K187" s="62"/>
      <c r="L187" s="49"/>
    </row>
    <row r="188" spans="1:12" ht="15.75">
      <c r="A188" s="29"/>
      <c r="B188" s="30"/>
      <c r="C188" s="31"/>
      <c r="D188" s="32" t="s">
        <v>34</v>
      </c>
      <c r="E188" s="33"/>
      <c r="F188" s="35">
        <f>SUM(F179:F187)</f>
        <v>780</v>
      </c>
      <c r="G188" s="35">
        <f>SUM(G179:G187)</f>
        <v>25.319999999999997</v>
      </c>
      <c r="H188" s="35">
        <f>SUM(H179:H187)</f>
        <v>26.54</v>
      </c>
      <c r="I188" s="35">
        <f>SUM(I179:I187)</f>
        <v>103.88999999999999</v>
      </c>
      <c r="J188" s="35">
        <f>SUM(J179:J187)</f>
        <v>756.37</v>
      </c>
      <c r="K188" s="79"/>
      <c r="L188" s="35">
        <f>SUM(L179:L187)</f>
        <v>116.07</v>
      </c>
    </row>
    <row r="189" spans="1:12" ht="15">
      <c r="A189" s="82">
        <v>2</v>
      </c>
      <c r="B189" s="83">
        <v>5</v>
      </c>
      <c r="C189" s="128" t="s">
        <v>48</v>
      </c>
      <c r="D189" s="129"/>
      <c r="E189" s="43"/>
      <c r="F189" s="52">
        <f>F178+F188</f>
        <v>1370</v>
      </c>
      <c r="G189" s="52">
        <f>G178+G188</f>
        <v>48.569999999999993</v>
      </c>
      <c r="H189" s="52">
        <f>H178+H188</f>
        <v>46.07</v>
      </c>
      <c r="I189" s="52">
        <f>I178+I188</f>
        <v>208.17999999999998</v>
      </c>
      <c r="J189" s="52">
        <f>J178+J188</f>
        <v>1442.4</v>
      </c>
      <c r="K189" s="52"/>
      <c r="L189" s="52">
        <f>L178+L188</f>
        <v>232.14</v>
      </c>
    </row>
    <row r="190" spans="1:12">
      <c r="A190" s="84"/>
      <c r="B190" s="85"/>
      <c r="C190" s="130" t="s">
        <v>113</v>
      </c>
      <c r="D190" s="130"/>
      <c r="E190" s="130"/>
      <c r="F190" s="86">
        <f>(F23+F42+F61+F80+F98+F116+F134+F153+F171+F189)/(IF(F23=0,0,1)+IF(F42=0,0,1)+IF(F61=0,0,1)+IF(F80=0,0,1)+IF(F98=0,0,1)+IF(F116=0,0,1)+IF(F134=0,0,1)+IF(F153=0,0,1)+IF(F171=0,0,1)+IF(F189=0,0,1))</f>
        <v>1349.7</v>
      </c>
      <c r="G190" s="86">
        <f>(G23+G42+G61+G80+G98+G116+G134+G153+G171+G189)/(IF(G23=0,0,1)+IF(G42=0,0,1)+IF(G61=0,0,1)+IF(G80=0,0,1)+IF(G98=0,0,1)+IF(G116=0,0,1)+IF(G134=0,0,1)+IF(G153=0,0,1)+IF(G171=0,0,1)+IF(G189=0,0,1))</f>
        <v>53.691932750582758</v>
      </c>
      <c r="H190" s="86">
        <f>(H23+H42+H61+H80+H98+H116+H134+H153+H171+H189)/(IF(H23=0,0,1)+IF(H42=0,0,1)+IF(H61=0,0,1)+IF(H80=0,0,1)+IF(H98=0,0,1)+IF(H116=0,0,1)+IF(H134=0,0,1)+IF(H153=0,0,1)+IF(H171=0,0,1)+IF(H189=0,0,1))</f>
        <v>50.444844871794864</v>
      </c>
      <c r="I190" s="86">
        <f>(I23+I42+I61+I80+I98+I116+I134+I153+I171+I189)/(IF(I23=0,0,1)+IF(I42=0,0,1)+IF(I61=0,0,1)+IF(I80=0,0,1)+IF(I98=0,0,1)+IF(I116=0,0,1)+IF(I134=0,0,1)+IF(I153=0,0,1)+IF(I171=0,0,1)+IF(I189=0,0,1))</f>
        <v>200.14112820512821</v>
      </c>
      <c r="J190" s="86">
        <f>(J23+J42+J61+J80+J98+J116+J134+J153+J171+J189)/(IF(J23=0,0,1)+IF(J42=0,0,1)+IF(J61=0,0,1)+IF(J80=0,0,1)+IF(J98=0,0,1)+IF(J116=0,0,1)+IF(J134=0,0,1)+IF(J153=0,0,1)+IF(J171=0,0,1)+IF(J189=0,0,1))</f>
        <v>1468.9633508918619</v>
      </c>
      <c r="K190" s="87"/>
      <c r="L190" s="86">
        <f>(L23+L42+L61+L80+L98+L116+L134+L153+L171+L189)/(IF(L23=0,0,1)+IF(L42=0,0,1)+IF(L61=0,0,1)+IF(L80=0,0,1)+IF(L98=0,0,1)+IF(L116=0,0,1)+IF(L134=0,0,1)+IF(L153=0,0,1)+IF(L171=0,0,1)+IF(L189=0,0,1))</f>
        <v>232.13999999999996</v>
      </c>
    </row>
    <row r="201" spans="5:13">
      <c r="E201" s="103"/>
      <c r="F201" s="103"/>
      <c r="G201" s="103"/>
      <c r="H201" s="103"/>
      <c r="I201" s="103"/>
      <c r="J201" s="103"/>
      <c r="K201" s="103"/>
      <c r="L201" s="103"/>
      <c r="M201" s="103"/>
    </row>
    <row r="202" spans="5:13" ht="15.75">
      <c r="E202" s="104"/>
      <c r="F202" s="105"/>
      <c r="G202" s="106"/>
      <c r="H202" s="106"/>
      <c r="I202" s="106"/>
      <c r="J202" s="106"/>
      <c r="K202" s="106"/>
      <c r="L202" s="107"/>
      <c r="M202" s="108"/>
    </row>
    <row r="203" spans="5:13" ht="15.75">
      <c r="E203" s="109"/>
      <c r="F203" s="110"/>
      <c r="G203" s="111"/>
      <c r="H203" s="111"/>
      <c r="I203" s="111"/>
      <c r="J203" s="111"/>
      <c r="K203" s="111"/>
      <c r="L203" s="107"/>
      <c r="M203" s="108"/>
    </row>
    <row r="204" spans="5:13" ht="15.75">
      <c r="E204" s="112"/>
      <c r="F204" s="106"/>
      <c r="G204" s="106"/>
      <c r="H204" s="106"/>
      <c r="I204" s="106"/>
      <c r="J204" s="106"/>
      <c r="K204" s="113"/>
      <c r="L204" s="103"/>
      <c r="M204" s="103"/>
    </row>
    <row r="205" spans="5:13" ht="15.75">
      <c r="E205" s="112"/>
      <c r="F205" s="106"/>
      <c r="G205" s="106"/>
      <c r="H205" s="106"/>
      <c r="I205" s="106"/>
      <c r="J205" s="106"/>
      <c r="K205" s="113"/>
      <c r="L205" s="103"/>
      <c r="M205" s="103"/>
    </row>
    <row r="206" spans="5:13" ht="15.75">
      <c r="E206" s="112"/>
      <c r="F206" s="106"/>
      <c r="G206" s="106"/>
      <c r="H206" s="106"/>
      <c r="I206" s="106"/>
      <c r="J206" s="106"/>
      <c r="K206" s="113"/>
      <c r="L206" s="103"/>
      <c r="M206" s="103"/>
    </row>
    <row r="207" spans="5:13" ht="15.75">
      <c r="E207" s="110"/>
      <c r="F207" s="106"/>
      <c r="G207" s="106"/>
      <c r="H207" s="106"/>
      <c r="I207" s="106"/>
      <c r="J207" s="106"/>
      <c r="K207" s="113"/>
      <c r="L207" s="103"/>
      <c r="M207" s="103"/>
    </row>
    <row r="208" spans="5:13" ht="15.75">
      <c r="E208" s="114"/>
      <c r="F208" s="115"/>
      <c r="G208" s="111"/>
      <c r="H208" s="111"/>
      <c r="I208" s="111"/>
      <c r="J208" s="111"/>
      <c r="K208" s="103"/>
      <c r="L208" s="103"/>
      <c r="M208" s="103"/>
    </row>
    <row r="209" spans="5:13" ht="15.75">
      <c r="E209" s="110"/>
      <c r="F209" s="111"/>
      <c r="G209" s="106"/>
      <c r="H209" s="106"/>
      <c r="I209" s="106"/>
      <c r="J209" s="106"/>
      <c r="K209" s="107"/>
      <c r="L209" s="103"/>
      <c r="M209" s="103"/>
    </row>
    <row r="210" spans="5:13" ht="15.75">
      <c r="E210" s="112"/>
      <c r="F210" s="106"/>
      <c r="G210" s="111"/>
      <c r="H210" s="111"/>
      <c r="I210" s="111"/>
      <c r="J210" s="111"/>
      <c r="K210" s="107"/>
      <c r="L210" s="103"/>
      <c r="M210" s="103"/>
    </row>
    <row r="211" spans="5:13" ht="15.75">
      <c r="E211" s="112"/>
      <c r="F211" s="106"/>
      <c r="G211" s="111"/>
      <c r="H211" s="111"/>
      <c r="I211" s="111"/>
      <c r="J211" s="111"/>
      <c r="K211" s="107"/>
      <c r="L211" s="103"/>
      <c r="M211" s="103"/>
    </row>
    <row r="212" spans="5:13" ht="15.75">
      <c r="E212" s="110"/>
      <c r="F212" s="106"/>
      <c r="G212" s="106"/>
      <c r="H212" s="106"/>
      <c r="I212" s="106"/>
      <c r="J212" s="111"/>
      <c r="K212" s="107"/>
      <c r="L212" s="103"/>
      <c r="M212" s="103"/>
    </row>
    <row r="213" spans="5:13" ht="15.75">
      <c r="E213" s="110"/>
      <c r="F213" s="106"/>
      <c r="G213" s="106"/>
      <c r="H213" s="106"/>
      <c r="I213" s="106"/>
      <c r="J213" s="106"/>
      <c r="K213" s="107"/>
      <c r="L213" s="103"/>
      <c r="M213" s="103"/>
    </row>
    <row r="214" spans="5:13" ht="15.75">
      <c r="E214" s="116"/>
      <c r="F214" s="106"/>
      <c r="G214" s="106"/>
      <c r="H214" s="106"/>
      <c r="I214" s="106"/>
      <c r="J214" s="106"/>
      <c r="K214" s="117"/>
      <c r="L214" s="103"/>
      <c r="M214" s="103"/>
    </row>
    <row r="215" spans="5:13" ht="15.75">
      <c r="E215" s="116"/>
      <c r="F215" s="106"/>
      <c r="G215" s="106"/>
      <c r="H215" s="106"/>
      <c r="I215" s="106"/>
      <c r="J215" s="106"/>
      <c r="K215" s="107"/>
      <c r="L215" s="103"/>
      <c r="M215" s="103"/>
    </row>
    <row r="216" spans="5:13" ht="15.75">
      <c r="E216" s="110"/>
      <c r="F216" s="111"/>
      <c r="G216" s="111"/>
      <c r="H216" s="111"/>
      <c r="I216" s="111"/>
      <c r="J216" s="111"/>
      <c r="K216" s="118"/>
      <c r="L216" s="103"/>
      <c r="M216" s="103"/>
    </row>
    <row r="217" spans="5:13">
      <c r="E217" s="103"/>
      <c r="F217" s="103"/>
      <c r="G217" s="103"/>
      <c r="H217" s="103"/>
      <c r="I217" s="103"/>
      <c r="J217" s="103"/>
      <c r="K217" s="103"/>
      <c r="L217" s="103"/>
      <c r="M217" s="103"/>
    </row>
    <row r="218" spans="5:13">
      <c r="E218" s="103"/>
      <c r="F218" s="103"/>
      <c r="G218" s="103"/>
      <c r="H218" s="103"/>
      <c r="I218" s="103"/>
      <c r="J218" s="103"/>
      <c r="K218" s="103"/>
      <c r="L218" s="103"/>
      <c r="M218" s="103"/>
    </row>
  </sheetData>
  <mergeCells count="14">
    <mergeCell ref="C1:E1"/>
    <mergeCell ref="H1:K1"/>
    <mergeCell ref="H2:K2"/>
    <mergeCell ref="C23:D23"/>
    <mergeCell ref="C42:D42"/>
    <mergeCell ref="C153:D153"/>
    <mergeCell ref="C171:D171"/>
    <mergeCell ref="C189:D189"/>
    <mergeCell ref="C190:E190"/>
    <mergeCell ref="C61:D61"/>
    <mergeCell ref="C80:D80"/>
    <mergeCell ref="C98:D98"/>
    <mergeCell ref="C116:D116"/>
    <mergeCell ref="C134:D134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7" manualBreakCount="7">
    <brk id="23" max="16383" man="1"/>
    <brk id="42" max="16383" man="1"/>
    <brk id="61" max="16383" man="1"/>
    <brk id="80" max="16383" man="1"/>
    <brk id="98" max="16383" man="1"/>
    <brk id="116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2023-10-20T05:17:00Z</cp:lastPrinted>
  <dcterms:created xsi:type="dcterms:W3CDTF">2022-05-16T14:23:00Z</dcterms:created>
  <dcterms:modified xsi:type="dcterms:W3CDTF">2024-12-19T03:19:20Z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