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1" i="1" l="1"/>
  <c r="F10" i="1" l="1"/>
  <c r="I13" i="1" l="1"/>
  <c r="H13" i="1"/>
  <c r="G14" i="1"/>
  <c r="H5" i="1"/>
  <c r="I5" i="1"/>
  <c r="H4" i="1"/>
  <c r="G5" i="1"/>
  <c r="J9" i="1" l="1"/>
  <c r="G9" i="1"/>
  <c r="J15" i="1" l="1"/>
  <c r="I16" i="1"/>
  <c r="H15" i="1"/>
  <c r="J13" i="1"/>
  <c r="G16" i="1"/>
  <c r="I9" i="1"/>
  <c r="H9" i="1"/>
  <c r="E10" i="1" l="1"/>
  <c r="J5" i="1" l="1"/>
  <c r="J4" i="1"/>
  <c r="I4" i="1"/>
  <c r="G4" i="1"/>
  <c r="J8" i="1"/>
  <c r="I8" i="1"/>
  <c r="H8" i="1"/>
  <c r="G8" i="1"/>
  <c r="J7" i="1"/>
  <c r="I7" i="1"/>
  <c r="I10" i="1" s="1"/>
  <c r="H7" i="1"/>
  <c r="H10" i="1" s="1"/>
  <c r="G7" i="1"/>
  <c r="J10" i="1" l="1"/>
  <c r="G10" i="1"/>
  <c r="J16" i="1"/>
  <c r="H16" i="1"/>
  <c r="I15" i="1"/>
  <c r="G15" i="1"/>
  <c r="J14" i="1"/>
  <c r="I14" i="1"/>
  <c r="H14" i="1"/>
  <c r="G13" i="1"/>
  <c r="E21" i="1"/>
  <c r="J19" i="1" l="1"/>
  <c r="I19" i="1"/>
  <c r="H19" i="1"/>
  <c r="G19" i="1"/>
  <c r="J18" i="1"/>
  <c r="J21" i="1" s="1"/>
  <c r="I18" i="1"/>
  <c r="I21" i="1" s="1"/>
  <c r="H18" i="1"/>
  <c r="H21" i="1" s="1"/>
  <c r="G18" i="1"/>
  <c r="G21" i="1" l="1"/>
</calcChain>
</file>

<file path=xl/sharedStrings.xml><?xml version="1.0" encoding="utf-8"?>
<sst xmlns="http://schemas.openxmlformats.org/spreadsheetml/2006/main" count="52" uniqueCount="43">
  <si>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</si>
  <si>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</si>
  <si>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</si>
  <si>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</si>
  <si>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</si>
  <si>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</si>
  <si>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</si>
  <si>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</si>
  <si>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</si>
  <si>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</si>
  <si>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</si>
  <si>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</si>
  <si>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</si>
  <si>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</si>
  <si>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</si>
  <si>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</si>
  <si>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</si>
  <si>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</si>
  <si>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</si>
  <si>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</si>
  <si>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</si>
  <si>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</si>
  <si>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</si>
  <si>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948</t>
  </si>
  <si>
    <t>Картофельное пюре</t>
  </si>
  <si>
    <t>Кисель из ягод</t>
  </si>
  <si>
    <t>13/1,1</t>
  </si>
  <si>
    <t>44379</t>
  </si>
  <si>
    <t>Салат "Фантазия"</t>
  </si>
  <si>
    <t>Тефтели рыбные в соусе</t>
  </si>
  <si>
    <t>44236</t>
  </si>
  <si>
    <t>40/3</t>
  </si>
  <si>
    <t>Каша гречневая рассыпчатая с овощами</t>
  </si>
  <si>
    <t>37.10</t>
  </si>
  <si>
    <t>Напиток из шиповника</t>
  </si>
  <si>
    <t>Мясо кур отварное в соусе</t>
  </si>
  <si>
    <t>18.7</t>
  </si>
  <si>
    <t>Зеленый горошек конс. с растительным маслом</t>
  </si>
  <si>
    <t>Хлеб пшеничный витаминизированный</t>
  </si>
  <si>
    <t>Хлеб ржано-пшеничный</t>
  </si>
  <si>
    <t>Щи с капустой и картофелем со сметаной</t>
  </si>
  <si>
    <t>МАОУ СОШ №10                                    8 день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</si>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</sst>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0">
    <xf numFmtId="0" fontId="0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9" fillId="0" borderId="0"/>
    <xf numFmtId="165" fontId="7" fillId="0" borderId="0" applyFont="0" applyFill="0" applyBorder="0" applyAlignment="0" applyProtection="0"/>
    <xf numFmtId="0" fontId="11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11" fillId="0" borderId="0"/>
    <xf numFmtId="0" fontId="1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77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9" fillId="0" borderId="5" xfId="5" applyBorder="1"/>
    <xf numFmtId="0" fontId="9" fillId="0" borderId="1" xfId="5" applyBorder="1"/>
    <xf numFmtId="0" fontId="9" fillId="3" borderId="1" xfId="5" applyFill="1" applyBorder="1" applyProtection="1">
      <protection locked="0"/>
    </xf>
    <xf numFmtId="0" fontId="9" fillId="3" borderId="1" xfId="5" applyFill="1" applyBorder="1" applyAlignment="1" applyProtection="1">
      <alignment wrapText="1"/>
      <protection locked="0"/>
    </xf>
    <xf numFmtId="1" fontId="9" fillId="3" borderId="1" xfId="5" applyNumberFormat="1" applyFill="1" applyBorder="1" applyProtection="1">
      <protection locked="0"/>
    </xf>
    <xf numFmtId="2" fontId="9" fillId="3" borderId="1" xfId="5" applyNumberFormat="1" applyFill="1" applyBorder="1" applyProtection="1">
      <protection locked="0"/>
    </xf>
    <xf numFmtId="0" fontId="9" fillId="3" borderId="9" xfId="5" applyFill="1" applyBorder="1" applyProtection="1">
      <protection locked="0"/>
    </xf>
    <xf numFmtId="1" fontId="9" fillId="3" borderId="9" xfId="5" applyNumberFormat="1" applyFill="1" applyBorder="1" applyProtection="1">
      <protection locked="0"/>
    </xf>
    <xf numFmtId="2" fontId="9" fillId="3" borderId="9" xfId="5" applyNumberFormat="1" applyFill="1" applyBorder="1" applyProtection="1">
      <protection locked="0"/>
    </xf>
    <xf numFmtId="0" fontId="9" fillId="0" borderId="4" xfId="5" applyBorder="1"/>
    <xf numFmtId="1" fontId="9" fillId="3" borderId="7" xfId="5" applyNumberFormat="1" applyFill="1" applyBorder="1" applyProtection="1">
      <protection locked="0"/>
    </xf>
    <xf numFmtId="0" fontId="9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10" fillId="4" borderId="1" xfId="7" applyNumberFormat="1" applyFont="1" applyFill="1" applyBorder="1" applyAlignment="1">
      <alignment horizontal="left" vertical="center"/>
    </xf>
    <xf numFmtId="49" fontId="10" fillId="2" borderId="1" xfId="7" applyNumberFormat="1" applyFont="1" applyFill="1" applyBorder="1" applyAlignment="1">
      <alignment horizontal="left" vertical="center"/>
    </xf>
    <xf numFmtId="0" fontId="10" fillId="4" borderId="1" xfId="7" applyFont="1" applyFill="1" applyBorder="1" applyAlignment="1">
      <alignment horizontal="left" vertical="center" wrapText="1"/>
    </xf>
    <xf numFmtId="2" fontId="8" fillId="4" borderId="0" xfId="7" applyNumberFormat="1" applyFont="1" applyFill="1" applyBorder="1" applyAlignment="1">
      <alignment horizontal="left" vertical="center"/>
    </xf>
    <xf numFmtId="2" fontId="8" fillId="0" borderId="0" xfId="7" applyNumberFormat="1" applyFont="1" applyBorder="1" applyAlignment="1">
      <alignment horizontal="left" vertical="center"/>
    </xf>
    <xf numFmtId="1" fontId="9" fillId="3" borderId="15" xfId="5" applyNumberFormat="1" applyFill="1" applyBorder="1" applyProtection="1">
      <protection locked="0"/>
    </xf>
    <xf numFmtId="1" fontId="9" fillId="3" borderId="16" xfId="5" applyNumberFormat="1" applyFill="1" applyBorder="1" applyProtection="1">
      <protection locked="0"/>
    </xf>
    <xf numFmtId="2" fontId="10" fillId="0" borderId="1" xfId="7" applyNumberFormat="1" applyFont="1" applyFill="1" applyBorder="1" applyAlignment="1">
      <alignment vertical="center"/>
    </xf>
    <xf numFmtId="0" fontId="10" fillId="0" borderId="1" xfId="7" applyFont="1" applyFill="1" applyBorder="1" applyAlignment="1">
      <alignment horizontal="left" vertical="center" wrapText="1"/>
    </xf>
    <xf numFmtId="49" fontId="10" fillId="0" borderId="1" xfId="7" applyNumberFormat="1" applyFont="1" applyFill="1" applyBorder="1" applyAlignment="1">
      <alignment horizontal="left" vertical="center"/>
    </xf>
    <xf numFmtId="1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4" borderId="1" xfId="7" applyNumberFormat="1" applyFont="1" applyFill="1" applyBorder="1" applyAlignment="1">
      <alignment horizontal="left" vertical="center"/>
    </xf>
    <xf numFmtId="2" fontId="12" fillId="0" borderId="1" xfId="7" applyNumberFormat="1" applyFont="1" applyFill="1" applyBorder="1" applyAlignment="1">
      <alignment horizontal="left" vertical="center" wrapText="1"/>
    </xf>
    <xf numFmtId="2" fontId="10" fillId="0" borderId="1" xfId="7" applyNumberFormat="1" applyFont="1" applyFill="1" applyBorder="1" applyAlignment="1">
      <alignment horizontal="left" vertical="center"/>
    </xf>
    <xf numFmtId="2" fontId="10" fillId="4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4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 wrapText="1"/>
    </xf>
    <xf numFmtId="2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12" fillId="0" borderId="1" xfId="7" applyNumberFormat="1" applyFont="1" applyFill="1" applyBorder="1" applyAlignment="1">
      <alignment horizontal="left" vertical="center"/>
    </xf>
    <xf numFmtId="2" fontId="8" fillId="0" borderId="1" xfId="8" applyNumberFormat="1" applyFont="1" applyBorder="1" applyAlignment="1">
      <alignment horizontal="left" vertical="center"/>
    </xf>
    <xf numFmtId="2" fontId="8" fillId="0" borderId="1" xfId="8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9" applyNumberFormat="1" applyFont="1" applyFill="1" applyBorder="1" applyAlignment="1">
      <alignment horizontal="left" vertical="center"/>
    </xf>
    <xf numFmtId="49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 wrapText="1"/>
    </xf>
    <xf numFmtId="2" fontId="10" fillId="0" borderId="1" xfId="7" applyNumberFormat="1" applyFont="1" applyFill="1" applyBorder="1" applyAlignment="1">
      <alignment horizontal="left" vertical="center" wrapText="1"/>
    </xf>
    <xf numFmtId="1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10" fillId="0" borderId="1" xfId="7" applyNumberFormat="1" applyFont="1" applyBorder="1" applyAlignment="1">
      <alignment horizontal="left" vertical="center"/>
    </xf>
    <xf numFmtId="2" fontId="10" fillId="0" borderId="14" xfId="7" applyNumberFormat="1" applyFont="1" applyFill="1" applyBorder="1" applyAlignment="1">
      <alignment horizontal="left" vertical="center"/>
    </xf>
    <xf numFmtId="2" fontId="8" fillId="0" borderId="0" xfId="5" applyNumberFormat="1" applyFont="1" applyAlignment="1">
      <alignment horizontal="left" vertical="center" wrapText="1"/>
    </xf>
    <xf numFmtId="0" fontId="2" fillId="0" borderId="5" xfId="5" applyFont="1" applyBorder="1"/>
    <xf numFmtId="0" fontId="2" fillId="0" borderId="1" xfId="5" applyFont="1" applyBorder="1"/>
    <xf numFmtId="0" fontId="2" fillId="0" borderId="4" xfId="5" applyFont="1" applyBorder="1"/>
    <xf numFmtId="2" fontId="8" fillId="0" borderId="1" xfId="7" applyNumberFormat="1" applyFont="1" applyFill="1" applyBorder="1" applyAlignment="1">
      <alignment vertical="center"/>
    </xf>
    <xf numFmtId="1" fontId="8" fillId="0" borderId="1" xfId="7" applyNumberFormat="1" applyFont="1" applyFill="1" applyBorder="1" applyAlignment="1">
      <alignment horizontal="left" vertical="center"/>
    </xf>
    <xf numFmtId="49" fontId="8" fillId="0" borderId="1" xfId="7" applyNumberFormat="1" applyFont="1" applyFill="1" applyBorder="1" applyAlignment="1">
      <alignment horizontal="left" vertical="center"/>
    </xf>
    <xf numFmtId="14" fontId="0" fillId="2" borderId="1" xfId="0" applyNumberFormat="1" applyFill="1" applyBorder="1" applyProtection="1">
      <protection locked="0"/>
    </xf>
    <xf numFmtId="0" fontId="8" fillId="0" borderId="1" xfId="7" applyFont="1" applyFill="1" applyBorder="1" applyAlignment="1">
      <alignment horizontal="left" vertical="center" wrapText="1"/>
    </xf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20">
    <cellStyle name="Обычный" xfId="0" builtinId="0"/>
    <cellStyle name="Обычный 11" xfId="1"/>
    <cellStyle name="Обычный 12" xfId="2"/>
    <cellStyle name="Обычный 2" xfId="4"/>
    <cellStyle name="Обычный 2 2" xfId="14"/>
    <cellStyle name="Обычный 2 3" xfId="12"/>
    <cellStyle name="Обычный 3" xfId="7"/>
    <cellStyle name="Обычный 3 2" xfId="15"/>
    <cellStyle name="Обычный 3 3" xfId="16"/>
    <cellStyle name="Обычный 3 4" xfId="17"/>
    <cellStyle name="Обычный 3 5" xfId="18"/>
    <cellStyle name="Обычный 3 6" xfId="19"/>
    <cellStyle name="Обычный 4" xfId="5"/>
    <cellStyle name="Обычный 4 2" xfId="13"/>
    <cellStyle name="Обычный 5" xfId="8"/>
    <cellStyle name="Обычный 5 2" xfId="9"/>
    <cellStyle name="Обычный 5 2 2" xfId="11"/>
    <cellStyle name="Обычный 5 3" xfId="10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3" t="s">
        <v>41</v>
      </c>
      <c r="C1" s="74"/>
      <c r="D1" s="75"/>
      <c r="E1" t="s">
        <v>16</v>
      </c>
      <c r="F1" s="9"/>
      <c r="I1" t="s">
        <v>1</v>
      </c>
      <c r="J1" s="70">
        <v>46085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17</v>
      </c>
      <c r="D3" s="5" t="s">
        <v>4</v>
      </c>
      <c r="E3" s="5" t="s">
        <v>18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6" t="s">
        <v>10</v>
      </c>
      <c r="B4" s="64" t="s">
        <v>20</v>
      </c>
      <c r="C4" s="55" t="s">
        <v>30</v>
      </c>
      <c r="D4" s="56" t="s">
        <v>35</v>
      </c>
      <c r="E4" s="59">
        <v>90</v>
      </c>
      <c r="F4" s="62">
        <v>59.3</v>
      </c>
      <c r="G4" s="60">
        <f>200*E4/100</f>
        <v>180</v>
      </c>
      <c r="H4" s="60">
        <f>11.6*E4/100</f>
        <v>10.44</v>
      </c>
      <c r="I4" s="60">
        <f>12.1*E4/100</f>
        <v>10.89</v>
      </c>
      <c r="J4" s="60">
        <f>11.2*E4/100</f>
        <v>10.079999999999998</v>
      </c>
    </row>
    <row r="5" spans="1:11" ht="15.75" x14ac:dyDescent="0.25">
      <c r="A5" s="76"/>
      <c r="B5" s="65" t="s">
        <v>14</v>
      </c>
      <c r="C5" s="55" t="s">
        <v>31</v>
      </c>
      <c r="D5" s="57" t="s">
        <v>32</v>
      </c>
      <c r="E5" s="57">
        <v>150</v>
      </c>
      <c r="F5" s="61">
        <v>17.07</v>
      </c>
      <c r="G5" s="60">
        <f>355*E5/200</f>
        <v>266.25</v>
      </c>
      <c r="H5" s="59">
        <f>11.5*E5/200</f>
        <v>8.625</v>
      </c>
      <c r="I5" s="59">
        <f>9.1*E5/200</f>
        <v>6.8250000000000002</v>
      </c>
      <c r="J5" s="59">
        <f>45.36*E5/180</f>
        <v>37.799999999999997</v>
      </c>
    </row>
    <row r="6" spans="1:11" ht="15.75" x14ac:dyDescent="0.25">
      <c r="A6" s="76"/>
      <c r="B6" s="72" t="s">
        <v>42</v>
      </c>
      <c r="C6" s="55" t="s">
        <v>33</v>
      </c>
      <c r="D6" s="57" t="s">
        <v>34</v>
      </c>
      <c r="E6" s="57">
        <v>200</v>
      </c>
      <c r="F6" s="61">
        <v>16.399999999999999</v>
      </c>
      <c r="G6" s="60">
        <v>54</v>
      </c>
      <c r="H6" s="59">
        <v>0.2</v>
      </c>
      <c r="I6" s="59">
        <v>0.1</v>
      </c>
      <c r="J6" s="59">
        <v>13.1</v>
      </c>
    </row>
    <row r="7" spans="1:11" ht="15.75" x14ac:dyDescent="0.25">
      <c r="A7" s="76"/>
      <c r="B7" s="65" t="s">
        <v>22</v>
      </c>
      <c r="C7" s="58" t="s">
        <v>19</v>
      </c>
      <c r="D7" s="67" t="s">
        <v>38</v>
      </c>
      <c r="E7" s="59">
        <v>40</v>
      </c>
      <c r="F7" s="54">
        <v>5.12</v>
      </c>
      <c r="G7" s="59">
        <f>E7*70.14/30</f>
        <v>93.52</v>
      </c>
      <c r="H7" s="59">
        <f>E7*2.37/30</f>
        <v>3.1600000000000006</v>
      </c>
      <c r="I7" s="59">
        <f>E7*0.3/30</f>
        <v>0.4</v>
      </c>
      <c r="J7" s="59">
        <f>E7*14.49/30</f>
        <v>19.32</v>
      </c>
    </row>
    <row r="8" spans="1:11" ht="15.75" x14ac:dyDescent="0.25">
      <c r="A8" s="76"/>
      <c r="B8" s="66" t="s">
        <v>21</v>
      </c>
      <c r="C8" s="58" t="s">
        <v>19</v>
      </c>
      <c r="D8" s="67" t="s">
        <v>39</v>
      </c>
      <c r="E8" s="59">
        <v>30</v>
      </c>
      <c r="F8" s="54">
        <v>3.55</v>
      </c>
      <c r="G8" s="59">
        <f>E8*68.97/30</f>
        <v>68.97</v>
      </c>
      <c r="H8" s="59">
        <f>E8*1.68/30</f>
        <v>1.68</v>
      </c>
      <c r="I8" s="59">
        <f>E8*0.33/30</f>
        <v>0.33</v>
      </c>
      <c r="J8" s="59">
        <f>E8*14.82/30</f>
        <v>14.82</v>
      </c>
    </row>
    <row r="9" spans="1:11" ht="32.25" thickBot="1" x14ac:dyDescent="0.3">
      <c r="A9" s="76"/>
      <c r="B9" s="21"/>
      <c r="C9" s="68">
        <v>445</v>
      </c>
      <c r="D9" s="63" t="s">
        <v>37</v>
      </c>
      <c r="E9" s="59">
        <v>30</v>
      </c>
      <c r="F9" s="54">
        <v>23.6</v>
      </c>
      <c r="G9" s="59">
        <f>E9*75/100</f>
        <v>22.5</v>
      </c>
      <c r="H9" s="59">
        <f>1.26*E9/42</f>
        <v>0.89999999999999991</v>
      </c>
      <c r="I9" s="59">
        <f>1.72*E9/42</f>
        <v>1.2285714285714286</v>
      </c>
      <c r="J9" s="59">
        <f>2.69*E9/42-0.01</f>
        <v>1.9114285714285715</v>
      </c>
    </row>
    <row r="10" spans="1:11" ht="15.75" x14ac:dyDescent="0.25">
      <c r="A10" s="76"/>
      <c r="B10" s="12"/>
      <c r="C10" s="34"/>
      <c r="D10" s="46"/>
      <c r="E10" s="38">
        <f>E4+E5+E6+E7+E8+E9</f>
        <v>540</v>
      </c>
      <c r="F10" s="38">
        <f>F4+F5+F6+F7+F8+F9</f>
        <v>125.04000000000002</v>
      </c>
      <c r="G10" s="38">
        <f t="shared" ref="G10" si="0">G4+G5+G6+G7+G8+G9</f>
        <v>685.24</v>
      </c>
      <c r="H10" s="38">
        <f>H4+H5+H6+H7+H8+H9</f>
        <v>25.004999999999995</v>
      </c>
      <c r="I10" s="38">
        <f>I4+I5+I6+I7+I8+I9+0.01</f>
        <v>19.783571428571427</v>
      </c>
      <c r="J10" s="38">
        <f>J4+J5+J6+J7+J8+J9+0.01</f>
        <v>97.041428571428582</v>
      </c>
    </row>
    <row r="11" spans="1:11" x14ac:dyDescent="0.25">
      <c r="A11" s="1"/>
      <c r="B11" s="23"/>
      <c r="C11" s="14"/>
      <c r="D11" s="15"/>
      <c r="E11" s="16"/>
      <c r="F11" s="17"/>
      <c r="G11" s="16"/>
      <c r="H11" s="16"/>
      <c r="I11" s="16"/>
      <c r="J11" s="22"/>
    </row>
    <row r="12" spans="1:11" ht="16.5" thickBot="1" x14ac:dyDescent="0.3">
      <c r="A12" s="2"/>
      <c r="B12" s="18"/>
      <c r="C12" s="18"/>
      <c r="D12" s="26"/>
      <c r="E12" s="19"/>
      <c r="F12" s="20"/>
      <c r="G12" s="19"/>
      <c r="H12" s="30"/>
      <c r="I12" s="30"/>
      <c r="J12" s="31"/>
    </row>
    <row r="13" spans="1:11" ht="15.75" x14ac:dyDescent="0.25">
      <c r="A13" s="1" t="s">
        <v>11</v>
      </c>
      <c r="B13" s="21" t="s">
        <v>12</v>
      </c>
      <c r="C13" s="25" t="s">
        <v>26</v>
      </c>
      <c r="D13" s="27" t="s">
        <v>28</v>
      </c>
      <c r="E13" s="40">
        <v>60</v>
      </c>
      <c r="F13" s="51">
        <v>7.54</v>
      </c>
      <c r="G13" s="37">
        <f>E13*128.76/60</f>
        <v>128.76</v>
      </c>
      <c r="H13" s="43">
        <f>E13*3.06/60</f>
        <v>3.06</v>
      </c>
      <c r="I13" s="43">
        <f>E13*9.36/60</f>
        <v>9.3599999999999977</v>
      </c>
      <c r="J13" s="43">
        <f>E13*8.1/60</f>
        <v>8.1</v>
      </c>
      <c r="K13" s="28"/>
    </row>
    <row r="14" spans="1:11" ht="31.5" x14ac:dyDescent="0.25">
      <c r="A14" s="1"/>
      <c r="B14" s="13" t="s">
        <v>13</v>
      </c>
      <c r="C14" s="55" t="s">
        <v>27</v>
      </c>
      <c r="D14" s="71" t="s">
        <v>40</v>
      </c>
      <c r="E14" s="39">
        <v>200</v>
      </c>
      <c r="F14" s="51">
        <v>21.63</v>
      </c>
      <c r="G14" s="36">
        <f>E14*87.2/200</f>
        <v>87.2</v>
      </c>
      <c r="H14" s="42">
        <f>E14*3.42/200</f>
        <v>3.42</v>
      </c>
      <c r="I14" s="42">
        <f>E14*4.98/200</f>
        <v>4.9800000000000004</v>
      </c>
      <c r="J14" s="42">
        <f>E14*7/200</f>
        <v>7</v>
      </c>
      <c r="K14" s="29"/>
    </row>
    <row r="15" spans="1:11" ht="15.75" x14ac:dyDescent="0.25">
      <c r="A15" s="1"/>
      <c r="B15" s="13" t="s">
        <v>20</v>
      </c>
      <c r="C15" s="69" t="s">
        <v>36</v>
      </c>
      <c r="D15" s="33" t="s">
        <v>29</v>
      </c>
      <c r="E15" s="41">
        <v>100</v>
      </c>
      <c r="F15" s="52">
        <v>84.09</v>
      </c>
      <c r="G15" s="45">
        <f>E15*140.77/100</f>
        <v>140.77000000000001</v>
      </c>
      <c r="H15" s="44">
        <f>E15*10.07/100</f>
        <v>10.07</v>
      </c>
      <c r="I15" s="44">
        <f>E15*7.08/100</f>
        <v>7.08</v>
      </c>
      <c r="J15" s="44">
        <f>E15*9.05/100</f>
        <v>9.0500000000000007</v>
      </c>
      <c r="K15" s="29"/>
    </row>
    <row r="16" spans="1:11" ht="15.75" x14ac:dyDescent="0.25">
      <c r="A16" s="1"/>
      <c r="B16" s="13" t="s">
        <v>14</v>
      </c>
      <c r="C16" s="55">
        <v>44258</v>
      </c>
      <c r="D16" s="33" t="s">
        <v>24</v>
      </c>
      <c r="E16" s="53">
        <v>150</v>
      </c>
      <c r="F16" s="52">
        <v>18.170000000000002</v>
      </c>
      <c r="G16" s="53">
        <f>E16*128/150</f>
        <v>128</v>
      </c>
      <c r="H16" s="53">
        <f>E16*3.17/150</f>
        <v>3.17</v>
      </c>
      <c r="I16" s="53">
        <f>E16*3.6/150</f>
        <v>3.6</v>
      </c>
      <c r="J16" s="53">
        <f>E16*20.4/150</f>
        <v>20.399999999999999</v>
      </c>
      <c r="K16" s="29"/>
    </row>
    <row r="17" spans="1:11" ht="15.75" x14ac:dyDescent="0.25">
      <c r="A17" s="1"/>
      <c r="B17" s="13" t="s">
        <v>15</v>
      </c>
      <c r="C17" s="55" t="s">
        <v>23</v>
      </c>
      <c r="D17" s="46" t="s">
        <v>25</v>
      </c>
      <c r="E17" s="41">
        <v>200</v>
      </c>
      <c r="F17" s="52">
        <v>5.6</v>
      </c>
      <c r="G17" s="45">
        <v>111</v>
      </c>
      <c r="H17" s="44">
        <v>0</v>
      </c>
      <c r="I17" s="44">
        <v>0</v>
      </c>
      <c r="J17" s="44">
        <v>27.8</v>
      </c>
      <c r="K17" s="29"/>
    </row>
    <row r="18" spans="1:11" ht="15.75" x14ac:dyDescent="0.25">
      <c r="A18" s="1"/>
      <c r="B18" s="13" t="s">
        <v>22</v>
      </c>
      <c r="C18" s="55" t="s">
        <v>19</v>
      </c>
      <c r="D18" s="67" t="s">
        <v>38</v>
      </c>
      <c r="E18" s="53">
        <v>34</v>
      </c>
      <c r="F18" s="54">
        <v>4.3499999999999996</v>
      </c>
      <c r="G18" s="53">
        <f>E18*70.14/30</f>
        <v>79.492000000000004</v>
      </c>
      <c r="H18" s="53">
        <f>E18*2.37/30</f>
        <v>2.6859999999999999</v>
      </c>
      <c r="I18" s="53">
        <f>E18*0.3/30</f>
        <v>0.33999999999999997</v>
      </c>
      <c r="J18" s="53">
        <f>E18*14.49/30</f>
        <v>16.422000000000001</v>
      </c>
      <c r="K18" s="29"/>
    </row>
    <row r="19" spans="1:11" ht="15.75" x14ac:dyDescent="0.25">
      <c r="A19" s="1"/>
      <c r="B19" s="24" t="s">
        <v>21</v>
      </c>
      <c r="C19" s="55" t="s">
        <v>19</v>
      </c>
      <c r="D19" s="67" t="s">
        <v>39</v>
      </c>
      <c r="E19" s="53">
        <v>31</v>
      </c>
      <c r="F19" s="54">
        <v>3.67</v>
      </c>
      <c r="G19" s="53">
        <f>E19*68.97/30</f>
        <v>71.269000000000005</v>
      </c>
      <c r="H19" s="53">
        <f>E19*1.68/30</f>
        <v>1.736</v>
      </c>
      <c r="I19" s="53">
        <f>E19*0.33/30</f>
        <v>0.34100000000000003</v>
      </c>
      <c r="J19" s="53">
        <f>E19*14.82/30</f>
        <v>15.314</v>
      </c>
      <c r="K19" s="29"/>
    </row>
    <row r="20" spans="1:11" ht="15.75" x14ac:dyDescent="0.25">
      <c r="A20" s="1"/>
      <c r="B20" s="24"/>
      <c r="C20" s="35"/>
      <c r="D20" s="32"/>
      <c r="E20" s="47"/>
      <c r="F20" s="48"/>
      <c r="G20" s="47"/>
      <c r="H20" s="49"/>
      <c r="I20" s="49"/>
      <c r="J20" s="49"/>
      <c r="K20" s="29"/>
    </row>
    <row r="21" spans="1:11" ht="15.75" x14ac:dyDescent="0.25">
      <c r="A21" s="1"/>
      <c r="B21" s="24"/>
      <c r="C21" s="34"/>
      <c r="D21" s="33"/>
      <c r="E21" s="50">
        <f>E13+E14+E15+E16+E17+E18+E19</f>
        <v>775</v>
      </c>
      <c r="F21" s="50">
        <f>F13+F14+F15+F16+F17+F18+F19</f>
        <v>145.04999999999998</v>
      </c>
      <c r="G21" s="50">
        <f t="shared" ref="G21:J21" si="1">G13+G14+G15+G16+G17+G18+G19</f>
        <v>746.49099999999999</v>
      </c>
      <c r="H21" s="50">
        <f t="shared" si="1"/>
        <v>24.141999999999999</v>
      </c>
      <c r="I21" s="50">
        <f>I13+I14+I15+I16+I17+I18+I19</f>
        <v>25.701000000000001</v>
      </c>
      <c r="J21" s="50">
        <f t="shared" si="1"/>
        <v>104.08599999999998</v>
      </c>
    </row>
    <row r="22" spans="1:11" ht="15.75" thickBot="1" x14ac:dyDescent="0.3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C17 C14 C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2026-02-27T05:30:53Z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