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i\Downl\tm2026-sm\"/>
    </mc:Choice>
  </mc:AlternateContent>
  <bookViews>
    <workbookView xWindow="0" yWindow="0" windowWidth="19200" windowHeight="10980"/>
  </bookViews>
  <sheets>
    <sheet name="все" sheetId="1" r:id="rId1"/>
    <sheet name="лист" sheetId="2" r:id="rId2"/>
  </sheets>
  <definedNames>
    <definedName name="_xlnm.Print_Area" localSheetId="0">все!$A$1:$L$183</definedName>
  </definedNames>
  <calcPr calcId="152511"/>
</workbook>
</file>

<file path=xl/calcChain.xml><?xml version="1.0" encoding="utf-8"?>
<calcChain xmlns="http://schemas.openxmlformats.org/spreadsheetml/2006/main">
  <c r="J166" i="1" l="1"/>
  <c r="I166" i="1"/>
  <c r="H166" i="1"/>
  <c r="G166" i="1"/>
  <c r="J165" i="1"/>
  <c r="I165" i="1"/>
  <c r="H165" i="1"/>
  <c r="G165" i="1"/>
  <c r="J149" i="1"/>
  <c r="I149" i="1"/>
  <c r="H149" i="1"/>
  <c r="G149" i="1"/>
  <c r="J148" i="1"/>
  <c r="I148" i="1"/>
  <c r="H148" i="1"/>
  <c r="G148" i="1"/>
  <c r="G155" i="1"/>
  <c r="H155" i="1"/>
  <c r="I155" i="1"/>
  <c r="J155" i="1"/>
  <c r="G156" i="1"/>
  <c r="H156" i="1"/>
  <c r="I156" i="1"/>
  <c r="J156" i="1"/>
  <c r="L182" i="1"/>
  <c r="L181" i="1"/>
  <c r="F181" i="1"/>
  <c r="J178" i="1"/>
  <c r="I178" i="1"/>
  <c r="I181" i="1" s="1"/>
  <c r="H178" i="1"/>
  <c r="G178" i="1"/>
  <c r="J177" i="1"/>
  <c r="I177" i="1"/>
  <c r="H177" i="1"/>
  <c r="G177" i="1"/>
  <c r="J175" i="1"/>
  <c r="I175" i="1"/>
  <c r="H175" i="1"/>
  <c r="G175" i="1"/>
  <c r="J174" i="1"/>
  <c r="J181" i="1" s="1"/>
  <c r="I174" i="1"/>
  <c r="H174" i="1"/>
  <c r="H181" i="1" s="1"/>
  <c r="G174" i="1"/>
  <c r="G181" i="1" s="1"/>
  <c r="J173" i="1"/>
  <c r="I173" i="1"/>
  <c r="H173" i="1"/>
  <c r="G173" i="1"/>
  <c r="J172" i="1"/>
  <c r="I172" i="1"/>
  <c r="H172" i="1"/>
  <c r="G172" i="1"/>
  <c r="L171" i="1"/>
  <c r="F171" i="1"/>
  <c r="J169" i="1"/>
  <c r="I169" i="1"/>
  <c r="H169" i="1"/>
  <c r="G169" i="1"/>
  <c r="J168" i="1"/>
  <c r="J171" i="1" s="1"/>
  <c r="I168" i="1"/>
  <c r="I171" i="1" s="1"/>
  <c r="H168" i="1"/>
  <c r="G168" i="1"/>
  <c r="J167" i="1"/>
  <c r="I167" i="1"/>
  <c r="H167" i="1"/>
  <c r="G167" i="1"/>
  <c r="L164" i="1"/>
  <c r="L163" i="1"/>
  <c r="F163" i="1"/>
  <c r="J160" i="1"/>
  <c r="I160" i="1"/>
  <c r="H160" i="1"/>
  <c r="G160" i="1"/>
  <c r="J159" i="1"/>
  <c r="I159" i="1"/>
  <c r="H159" i="1"/>
  <c r="G159" i="1"/>
  <c r="J157" i="1"/>
  <c r="I157" i="1"/>
  <c r="H157" i="1"/>
  <c r="G157" i="1"/>
  <c r="L154" i="1"/>
  <c r="J154" i="1"/>
  <c r="I154" i="1"/>
  <c r="H154" i="1"/>
  <c r="F154" i="1"/>
  <c r="J152" i="1"/>
  <c r="I152" i="1"/>
  <c r="H152" i="1"/>
  <c r="G152" i="1"/>
  <c r="J151" i="1"/>
  <c r="I151" i="1"/>
  <c r="H151" i="1"/>
  <c r="G151" i="1"/>
  <c r="L147" i="1"/>
  <c r="J147" i="1"/>
  <c r="I147" i="1"/>
  <c r="H147" i="1"/>
  <c r="G147" i="1"/>
  <c r="F147" i="1"/>
  <c r="B147" i="1"/>
  <c r="A147" i="1"/>
  <c r="L146" i="1"/>
  <c r="J146" i="1"/>
  <c r="I146" i="1"/>
  <c r="H146" i="1"/>
  <c r="G146" i="1"/>
  <c r="F146" i="1"/>
  <c r="J144" i="1"/>
  <c r="I144" i="1"/>
  <c r="H144" i="1"/>
  <c r="G144" i="1"/>
  <c r="J143" i="1"/>
  <c r="I143" i="1"/>
  <c r="H143" i="1"/>
  <c r="G143" i="1"/>
  <c r="J141" i="1"/>
  <c r="I141" i="1"/>
  <c r="H141" i="1"/>
  <c r="G141" i="1"/>
  <c r="J140" i="1"/>
  <c r="I140" i="1"/>
  <c r="H140" i="1"/>
  <c r="G140" i="1"/>
  <c r="J139" i="1"/>
  <c r="I139" i="1"/>
  <c r="H139" i="1"/>
  <c r="G139" i="1"/>
  <c r="J138" i="1"/>
  <c r="I138" i="1"/>
  <c r="H138" i="1"/>
  <c r="G138" i="1"/>
  <c r="B138" i="1"/>
  <c r="A138" i="1"/>
  <c r="L137" i="1"/>
  <c r="J137" i="1"/>
  <c r="I137" i="1"/>
  <c r="H137" i="1"/>
  <c r="G137" i="1"/>
  <c r="F137" i="1"/>
  <c r="J134" i="1"/>
  <c r="I134" i="1"/>
  <c r="H134" i="1"/>
  <c r="G134" i="1"/>
  <c r="J133" i="1"/>
  <c r="I133" i="1"/>
  <c r="H133" i="1"/>
  <c r="G133" i="1"/>
  <c r="J131" i="1"/>
  <c r="I131" i="1"/>
  <c r="H131" i="1"/>
  <c r="G131" i="1"/>
  <c r="J130" i="1"/>
  <c r="I130" i="1"/>
  <c r="H130" i="1"/>
  <c r="G130" i="1"/>
  <c r="L129" i="1"/>
  <c r="J129" i="1"/>
  <c r="I129" i="1"/>
  <c r="H129" i="1"/>
  <c r="G129" i="1"/>
  <c r="F129" i="1"/>
  <c r="B129" i="1"/>
  <c r="A129" i="1"/>
  <c r="L128" i="1"/>
  <c r="J128" i="1"/>
  <c r="I128" i="1"/>
  <c r="H128" i="1"/>
  <c r="G128" i="1"/>
  <c r="F128" i="1"/>
  <c r="J125" i="1"/>
  <c r="I125" i="1"/>
  <c r="H125" i="1"/>
  <c r="G125" i="1"/>
  <c r="J124" i="1"/>
  <c r="I124" i="1"/>
  <c r="H124" i="1"/>
  <c r="G124" i="1"/>
  <c r="J122" i="1"/>
  <c r="I122" i="1"/>
  <c r="H122" i="1"/>
  <c r="G122" i="1"/>
  <c r="J121" i="1"/>
  <c r="I121" i="1"/>
  <c r="H121" i="1"/>
  <c r="G121" i="1"/>
  <c r="J120" i="1"/>
  <c r="I120" i="1"/>
  <c r="H120" i="1"/>
  <c r="G120" i="1"/>
  <c r="J119" i="1"/>
  <c r="I119" i="1"/>
  <c r="H119" i="1"/>
  <c r="G119" i="1"/>
  <c r="B119" i="1"/>
  <c r="A119" i="1"/>
  <c r="L118" i="1"/>
  <c r="J118" i="1"/>
  <c r="I118" i="1"/>
  <c r="H118" i="1"/>
  <c r="G118" i="1"/>
  <c r="F118" i="1"/>
  <c r="J115" i="1"/>
  <c r="I115" i="1"/>
  <c r="H115" i="1"/>
  <c r="G115" i="1"/>
  <c r="H114" i="1"/>
  <c r="J113" i="1"/>
  <c r="I113" i="1"/>
  <c r="H113" i="1"/>
  <c r="G113" i="1"/>
  <c r="J112" i="1"/>
  <c r="I112" i="1"/>
  <c r="H112" i="1"/>
  <c r="G112" i="1"/>
  <c r="L111" i="1"/>
  <c r="J111" i="1"/>
  <c r="I111" i="1"/>
  <c r="H111" i="1"/>
  <c r="G111" i="1"/>
  <c r="F111" i="1"/>
  <c r="B111" i="1"/>
  <c r="A111" i="1"/>
  <c r="L110" i="1"/>
  <c r="J110" i="1"/>
  <c r="I110" i="1"/>
  <c r="H110" i="1"/>
  <c r="G110" i="1"/>
  <c r="F110" i="1"/>
  <c r="J108" i="1"/>
  <c r="I108" i="1"/>
  <c r="H108" i="1"/>
  <c r="G108" i="1"/>
  <c r="J106" i="1"/>
  <c r="I106" i="1"/>
  <c r="H106" i="1"/>
  <c r="G106" i="1"/>
  <c r="J105" i="1"/>
  <c r="I105" i="1"/>
  <c r="H105" i="1"/>
  <c r="G105" i="1"/>
  <c r="J104" i="1"/>
  <c r="I104" i="1"/>
  <c r="H104" i="1"/>
  <c r="G104" i="1"/>
  <c r="J103" i="1"/>
  <c r="I103" i="1"/>
  <c r="H103" i="1"/>
  <c r="G103" i="1"/>
  <c r="J102" i="1"/>
  <c r="I102" i="1"/>
  <c r="H102" i="1"/>
  <c r="G102" i="1"/>
  <c r="B102" i="1"/>
  <c r="A102" i="1"/>
  <c r="L101" i="1"/>
  <c r="J101" i="1"/>
  <c r="I101" i="1"/>
  <c r="H101" i="1"/>
  <c r="G101" i="1"/>
  <c r="F101" i="1"/>
  <c r="J99" i="1"/>
  <c r="I99" i="1"/>
  <c r="H99" i="1"/>
  <c r="G99" i="1"/>
  <c r="J98" i="1"/>
  <c r="I98" i="1"/>
  <c r="H98" i="1"/>
  <c r="G98" i="1"/>
  <c r="J95" i="1"/>
  <c r="I95" i="1"/>
  <c r="H95" i="1"/>
  <c r="G95" i="1"/>
  <c r="L94" i="1"/>
  <c r="J94" i="1"/>
  <c r="I94" i="1"/>
  <c r="H94" i="1"/>
  <c r="G94" i="1"/>
  <c r="F94" i="1"/>
  <c r="B94" i="1"/>
  <c r="A94" i="1"/>
  <c r="L93" i="1"/>
  <c r="J93" i="1"/>
  <c r="I93" i="1"/>
  <c r="H93" i="1"/>
  <c r="G93" i="1"/>
  <c r="F93" i="1"/>
  <c r="J90" i="1"/>
  <c r="I90" i="1"/>
  <c r="H90" i="1"/>
  <c r="G90" i="1"/>
  <c r="J89" i="1"/>
  <c r="I89" i="1"/>
  <c r="H89" i="1"/>
  <c r="G89" i="1"/>
  <c r="J87" i="1"/>
  <c r="I87" i="1"/>
  <c r="H87" i="1"/>
  <c r="G87" i="1"/>
  <c r="J86" i="1"/>
  <c r="I86" i="1"/>
  <c r="H86" i="1"/>
  <c r="G86" i="1"/>
  <c r="J85" i="1"/>
  <c r="I85" i="1"/>
  <c r="H85" i="1"/>
  <c r="G85" i="1"/>
  <c r="L84" i="1"/>
  <c r="J84" i="1"/>
  <c r="I84" i="1"/>
  <c r="H84" i="1"/>
  <c r="G84" i="1"/>
  <c r="F84" i="1"/>
  <c r="J82" i="1"/>
  <c r="I82" i="1"/>
  <c r="H82" i="1"/>
  <c r="G82" i="1"/>
  <c r="J81" i="1"/>
  <c r="I81" i="1"/>
  <c r="H81" i="1"/>
  <c r="G81" i="1"/>
  <c r="J79" i="1"/>
  <c r="I79" i="1"/>
  <c r="H79" i="1"/>
  <c r="G79" i="1"/>
  <c r="L78" i="1"/>
  <c r="J78" i="1"/>
  <c r="I78" i="1"/>
  <c r="H78" i="1"/>
  <c r="G78" i="1"/>
  <c r="F78" i="1"/>
  <c r="B78" i="1"/>
  <c r="A78" i="1"/>
  <c r="L77" i="1"/>
  <c r="J77" i="1"/>
  <c r="I77" i="1"/>
  <c r="H77" i="1"/>
  <c r="G77" i="1"/>
  <c r="F77" i="1"/>
  <c r="J74" i="1"/>
  <c r="I74" i="1"/>
  <c r="H74" i="1"/>
  <c r="G74" i="1"/>
  <c r="J73" i="1"/>
  <c r="I73" i="1"/>
  <c r="H73" i="1"/>
  <c r="G73" i="1"/>
  <c r="J71" i="1"/>
  <c r="I71" i="1"/>
  <c r="H71" i="1"/>
  <c r="G71" i="1"/>
  <c r="J70" i="1"/>
  <c r="I70" i="1"/>
  <c r="H70" i="1"/>
  <c r="G70" i="1"/>
  <c r="J69" i="1"/>
  <c r="I69" i="1"/>
  <c r="H69" i="1"/>
  <c r="G69" i="1"/>
  <c r="J68" i="1"/>
  <c r="I68" i="1"/>
  <c r="H68" i="1"/>
  <c r="G68" i="1"/>
  <c r="B68" i="1"/>
  <c r="A68" i="1"/>
  <c r="L67" i="1"/>
  <c r="J67" i="1"/>
  <c r="I67" i="1"/>
  <c r="H67" i="1"/>
  <c r="G67" i="1"/>
  <c r="F67" i="1"/>
  <c r="J63" i="1"/>
  <c r="I63" i="1"/>
  <c r="H63" i="1"/>
  <c r="G63" i="1"/>
  <c r="J62" i="1"/>
  <c r="I62" i="1"/>
  <c r="H62" i="1"/>
  <c r="G62" i="1"/>
  <c r="J61" i="1"/>
  <c r="I61" i="1"/>
  <c r="H61" i="1"/>
  <c r="G61" i="1"/>
  <c r="J60" i="1"/>
  <c r="I60" i="1"/>
  <c r="H60" i="1"/>
  <c r="G60" i="1"/>
  <c r="L59" i="1"/>
  <c r="J59" i="1"/>
  <c r="I59" i="1"/>
  <c r="H59" i="1"/>
  <c r="G59" i="1"/>
  <c r="F59" i="1"/>
  <c r="B59" i="1"/>
  <c r="A59" i="1"/>
  <c r="L58" i="1"/>
  <c r="J58" i="1"/>
  <c r="I58" i="1"/>
  <c r="H58" i="1"/>
  <c r="G58" i="1"/>
  <c r="F58" i="1"/>
  <c r="J55" i="1"/>
  <c r="I55" i="1"/>
  <c r="H55" i="1"/>
  <c r="G55" i="1"/>
  <c r="J54" i="1"/>
  <c r="I54" i="1"/>
  <c r="H54" i="1"/>
  <c r="G54" i="1"/>
  <c r="J52" i="1"/>
  <c r="I52" i="1"/>
  <c r="H52" i="1"/>
  <c r="G52" i="1"/>
  <c r="J51" i="1"/>
  <c r="I51" i="1"/>
  <c r="H51" i="1"/>
  <c r="G51" i="1"/>
  <c r="J50" i="1"/>
  <c r="I50" i="1"/>
  <c r="H50" i="1"/>
  <c r="G50" i="1"/>
  <c r="J49" i="1"/>
  <c r="I49" i="1"/>
  <c r="H49" i="1"/>
  <c r="G49" i="1"/>
  <c r="L48" i="1"/>
  <c r="J48" i="1"/>
  <c r="I48" i="1"/>
  <c r="H48" i="1"/>
  <c r="G48" i="1"/>
  <c r="F48" i="1"/>
  <c r="J46" i="1"/>
  <c r="I46" i="1"/>
  <c r="H46" i="1"/>
  <c r="G46" i="1"/>
  <c r="J45" i="1"/>
  <c r="I45" i="1"/>
  <c r="H45" i="1"/>
  <c r="G45" i="1"/>
  <c r="J43" i="1"/>
  <c r="I43" i="1"/>
  <c r="H43" i="1"/>
  <c r="G43" i="1"/>
  <c r="J42" i="1"/>
  <c r="I42" i="1"/>
  <c r="H42" i="1"/>
  <c r="G42" i="1"/>
  <c r="L41" i="1"/>
  <c r="J41" i="1"/>
  <c r="I41" i="1"/>
  <c r="H41" i="1"/>
  <c r="G41" i="1"/>
  <c r="F41" i="1"/>
  <c r="B41" i="1"/>
  <c r="A41" i="1"/>
  <c r="L40" i="1"/>
  <c r="J40" i="1"/>
  <c r="I40" i="1"/>
  <c r="H40" i="1"/>
  <c r="G40" i="1"/>
  <c r="F40" i="1"/>
  <c r="J37" i="1"/>
  <c r="I37" i="1"/>
  <c r="H37" i="1"/>
  <c r="G37" i="1"/>
  <c r="J36" i="1"/>
  <c r="I36" i="1"/>
  <c r="H36" i="1"/>
  <c r="G36" i="1"/>
  <c r="J35" i="1"/>
  <c r="I35" i="1"/>
  <c r="H35" i="1"/>
  <c r="G35" i="1"/>
  <c r="J34" i="1"/>
  <c r="I34" i="1"/>
  <c r="H34" i="1"/>
  <c r="G34" i="1"/>
  <c r="J33" i="1"/>
  <c r="I33" i="1"/>
  <c r="H33" i="1"/>
  <c r="G33" i="1"/>
  <c r="J32" i="1"/>
  <c r="I32" i="1"/>
  <c r="H32" i="1"/>
  <c r="G32" i="1"/>
  <c r="J31" i="1"/>
  <c r="I31" i="1"/>
  <c r="H31" i="1"/>
  <c r="G31" i="1"/>
  <c r="L30" i="1"/>
  <c r="J30" i="1"/>
  <c r="I30" i="1"/>
  <c r="H30" i="1"/>
  <c r="G30" i="1"/>
  <c r="F30" i="1"/>
  <c r="J28" i="1"/>
  <c r="I28" i="1"/>
  <c r="H28" i="1"/>
  <c r="G28" i="1"/>
  <c r="J27" i="1"/>
  <c r="I27" i="1"/>
  <c r="H27" i="1"/>
  <c r="G27" i="1"/>
  <c r="J25" i="1"/>
  <c r="I25" i="1"/>
  <c r="H25" i="1"/>
  <c r="G25" i="1"/>
  <c r="J24" i="1"/>
  <c r="I24" i="1"/>
  <c r="H24" i="1"/>
  <c r="G24" i="1"/>
  <c r="L23" i="1"/>
  <c r="J23" i="1"/>
  <c r="I23" i="1"/>
  <c r="H23" i="1"/>
  <c r="G23" i="1"/>
  <c r="F23" i="1"/>
  <c r="B23" i="1"/>
  <c r="A23" i="1"/>
  <c r="L22" i="1"/>
  <c r="J22" i="1"/>
  <c r="I22" i="1"/>
  <c r="H22" i="1"/>
  <c r="G22" i="1"/>
  <c r="F22" i="1"/>
  <c r="J19" i="1"/>
  <c r="I19" i="1"/>
  <c r="H19" i="1"/>
  <c r="G19" i="1"/>
  <c r="J18" i="1"/>
  <c r="I18" i="1"/>
  <c r="H18" i="1"/>
  <c r="G18" i="1"/>
  <c r="J17" i="1"/>
  <c r="I17" i="1"/>
  <c r="H17" i="1"/>
  <c r="G17" i="1"/>
  <c r="J16" i="1"/>
  <c r="I16" i="1"/>
  <c r="H16" i="1"/>
  <c r="G16" i="1"/>
  <c r="J15" i="1"/>
  <c r="I15" i="1"/>
  <c r="H15" i="1"/>
  <c r="G15" i="1"/>
  <c r="J14" i="1"/>
  <c r="I14" i="1"/>
  <c r="H14" i="1"/>
  <c r="G14" i="1"/>
  <c r="J13" i="1"/>
  <c r="I13" i="1"/>
  <c r="H13" i="1"/>
  <c r="G13" i="1"/>
  <c r="B13" i="1"/>
  <c r="A13" i="1"/>
  <c r="L12" i="1"/>
  <c r="J12" i="1"/>
  <c r="I12" i="1"/>
  <c r="H12" i="1"/>
  <c r="G12" i="1"/>
  <c r="F12" i="1"/>
  <c r="J10" i="1"/>
  <c r="I10" i="1"/>
  <c r="H10" i="1"/>
  <c r="G10" i="1"/>
  <c r="J9" i="1"/>
  <c r="I9" i="1"/>
  <c r="H9" i="1"/>
  <c r="G9" i="1"/>
  <c r="J6" i="1"/>
  <c r="I6" i="1"/>
  <c r="H6" i="1"/>
  <c r="G6" i="1"/>
  <c r="F182" i="1" l="1"/>
  <c r="I182" i="1"/>
  <c r="J182" i="1"/>
  <c r="H171" i="1"/>
  <c r="H182" i="1" s="1"/>
  <c r="G171" i="1"/>
  <c r="G182" i="1" s="1"/>
  <c r="G154" i="1"/>
  <c r="F164" i="1"/>
  <c r="F183" i="1" s="1"/>
  <c r="H163" i="1"/>
  <c r="H164" i="1" s="1"/>
  <c r="H183" i="1" s="1"/>
  <c r="G163" i="1"/>
  <c r="G164" i="1" s="1"/>
  <c r="G183" i="1" s="1"/>
  <c r="I163" i="1"/>
  <c r="I164" i="1" s="1"/>
  <c r="I183" i="1" s="1"/>
  <c r="J163" i="1"/>
  <c r="J164" i="1" s="1"/>
  <c r="J183" i="1" s="1"/>
</calcChain>
</file>

<file path=xl/sharedStrings.xml><?xml version="1.0" encoding="utf-8"?>
<sst xmlns="http://schemas.openxmlformats.org/spreadsheetml/2006/main" count="409" uniqueCount="162">
  <si>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</si>
  <si>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</si>
  <si>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</si>
  <si>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</si>
  <si>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</si>
  <si>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</si>
  <si>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</si>
  <si>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</si>
  <si>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</si>
  <si>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</si>
  <si>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</si>
  <si>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</si>
  <si>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</si>
  <si>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</si>
  <si>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</si>
  <si>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</si>
  <si>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</si>
  <si>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</si>
  <si>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</si>
  <si>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</si>
  <si>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</si>
  <si>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</si>
  <si>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</si>
  <si>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</si>
  <si>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Кофейный напиток на молоке</t>
  </si>
  <si>
    <t>пром</t>
  </si>
  <si>
    <t>Бутерброд с сыром</t>
  </si>
  <si>
    <t>итого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</si>
  <si>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</si>
  <si>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</si>
  <si>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</si>
  <si>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</si>
  <si>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</si>
  <si>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</si>
  <si>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Компот из кураги и яблок</t>
  </si>
  <si>
    <t>хлеб бел.</t>
  </si>
  <si>
    <t>Хлеб пшеничный витаминизированный</t>
  </si>
  <si>
    <t>хлеб черн.</t>
  </si>
  <si>
    <t>Итого за день:</t>
  </si>
  <si>
    <t xml:space="preserve">пром </t>
  </si>
  <si>
    <t xml:space="preserve">Котлета из кур </t>
  </si>
  <si>
    <t>Напиток "Золотой шар"</t>
  </si>
  <si>
    <t>Компот из сухофруктов</t>
  </si>
  <si>
    <t>Суп-лапша на куринном бульоне с зеленью</t>
  </si>
  <si>
    <t>Каша гречневая рассыпчатая</t>
  </si>
  <si>
    <t>Колбаски "Витаминные"</t>
  </si>
  <si>
    <t>64</t>
  </si>
  <si>
    <t>Компот из яблок и изюма</t>
  </si>
  <si>
    <t>23</t>
  </si>
  <si>
    <t>Картофельное пюре</t>
  </si>
  <si>
    <t>36.10</t>
  </si>
  <si>
    <t xml:space="preserve">Плов </t>
  </si>
  <si>
    <t>Каша пшеничная молочная с маслом сливочным</t>
  </si>
  <si>
    <t>18.2</t>
  </si>
  <si>
    <t>39.3</t>
  </si>
  <si>
    <t xml:space="preserve">Суфле из мяса кур </t>
  </si>
  <si>
    <t>Винегрет овощной</t>
  </si>
  <si>
    <t>Тефтели рыбные  в соусе</t>
  </si>
  <si>
    <t>Мясо кур отварное в соусе</t>
  </si>
  <si>
    <t>46.3</t>
  </si>
  <si>
    <t>38.2</t>
  </si>
  <si>
    <t>Биточек мясной паровой</t>
  </si>
  <si>
    <t>Рагу из овощей</t>
  </si>
  <si>
    <t>32/3</t>
  </si>
  <si>
    <t>44357</t>
  </si>
  <si>
    <t>Среднее значение за период:</t>
  </si>
  <si>
    <t>Гренки</t>
  </si>
  <si>
    <t>Фрукты</t>
  </si>
  <si>
    <t>90</t>
  </si>
  <si>
    <t>16.2</t>
  </si>
  <si>
    <t>16.81</t>
  </si>
  <si>
    <t>Суфле "Рыбка"</t>
  </si>
  <si>
    <t>29/2</t>
  </si>
  <si>
    <t>40/2</t>
  </si>
  <si>
    <t>Председатель Правления ПК"СЫСЕРТСКОЕ РАЙПО"</t>
  </si>
  <si>
    <t>Шалапугина Н.В.</t>
  </si>
  <si>
    <t>сладкое</t>
  </si>
  <si>
    <t>Тефтели мясные с рисом паровые</t>
  </si>
  <si>
    <t>Запеканка из творога с рисом со сгущенным молоком</t>
  </si>
  <si>
    <t>16.4</t>
  </si>
  <si>
    <t>44240</t>
  </si>
  <si>
    <t>Какао на молоке</t>
  </si>
  <si>
    <t>41/1</t>
  </si>
  <si>
    <t>Мясо, тушеное с овощами</t>
  </si>
  <si>
    <t>Чай с лимоном</t>
  </si>
  <si>
    <t>Омлет натуральный</t>
  </si>
  <si>
    <t>17/1</t>
  </si>
  <si>
    <t>44257</t>
  </si>
  <si>
    <t>16.8</t>
  </si>
  <si>
    <t>Каша  молочная рисовая с маслом сливочным</t>
  </si>
  <si>
    <t xml:space="preserve">Компот из кураги </t>
  </si>
  <si>
    <t>16</t>
  </si>
  <si>
    <t>Компот из свежих фруктов</t>
  </si>
  <si>
    <t>44265</t>
  </si>
  <si>
    <t>13/1,1</t>
  </si>
  <si>
    <t>18.7</t>
  </si>
  <si>
    <t>44258</t>
  </si>
  <si>
    <t>948</t>
  </si>
  <si>
    <t>Рис припущенный</t>
  </si>
  <si>
    <t>Компот из кураги и изюма</t>
  </si>
  <si>
    <t>305</t>
  </si>
  <si>
    <t>44510</t>
  </si>
  <si>
    <t>44417</t>
  </si>
  <si>
    <t>Салат из отварной свеклы с сыром и растительным маслом</t>
  </si>
  <si>
    <t>40</t>
  </si>
  <si>
    <t xml:space="preserve">Капуста тушеная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</si>
  <si>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44348</t>
  </si>
  <si>
    <t>7-11 лет</t>
  </si>
  <si>
    <t>Борщ из капусты с картофелем, сметаной, мясом и зеленью</t>
  </si>
  <si>
    <t>Жиры</t>
  </si>
  <si>
    <t>37/2</t>
  </si>
  <si>
    <t>29/11</t>
  </si>
  <si>
    <t>36/81</t>
  </si>
  <si>
    <t>Суп картофельный с макаронными изделиями, мясом и зеленью</t>
  </si>
  <si>
    <t>Салат из свежих овощей с маслом растительным</t>
  </si>
  <si>
    <t>Суп картофельный с бобовыми, мясом, зеленью</t>
  </si>
  <si>
    <t>Суп-пюре картофельный с мясом, зеленью</t>
  </si>
  <si>
    <t>Биточки мясные паровые</t>
  </si>
  <si>
    <t>Кисель</t>
  </si>
  <si>
    <t>Рассольник с крупой,  сметаной, мясом и зеленью</t>
  </si>
  <si>
    <t>Салат из белокачанной капусты с морковью, зеленью и растительным маслом</t>
  </si>
  <si>
    <t>Салат из свежей капусты с помидорами и растительным маслом</t>
  </si>
  <si>
    <t>Щи с капустой, картофелем, сметаной, мясом, зеленью</t>
  </si>
  <si>
    <t>Суп из овощей со сметаной, мясом, зеленью</t>
  </si>
  <si>
    <t>Суп крестьянский с крупой, сметаной, мясом, зеленью</t>
  </si>
  <si>
    <t>Салат из картофеля с соленым огурцом, луком и растительным маслом</t>
  </si>
  <si>
    <t>22/2</t>
  </si>
  <si>
    <t>37/10</t>
  </si>
  <si>
    <t>36.81</t>
  </si>
  <si>
    <t>20.2</t>
  </si>
  <si>
    <t>39/3</t>
  </si>
  <si>
    <t>фрукты</t>
  </si>
  <si>
    <t>32/10</t>
  </si>
  <si>
    <t>16/81</t>
  </si>
  <si>
    <t>44236</t>
  </si>
  <si>
    <t>444233</t>
  </si>
  <si>
    <t>44263</t>
  </si>
  <si>
    <t>44294</t>
  </si>
  <si>
    <t>Бутерброд с маслом</t>
  </si>
  <si>
    <t>44209</t>
  </si>
  <si>
    <t>178</t>
  </si>
  <si>
    <t>Хлеб ржано-пшеничный витаминизированный</t>
  </si>
  <si>
    <t>Суп с крупой, рыбной консервой, зеленью</t>
  </si>
  <si>
    <t>Салат из огурцов, помидор с маслом растительным и зеленью</t>
  </si>
  <si>
    <t>21/1</t>
  </si>
  <si>
    <t>Салат "Фантазия" с зеленью</t>
  </si>
  <si>
    <t>Чай каркаде</t>
  </si>
  <si>
    <t>27/11</t>
  </si>
  <si>
    <t>Салат из отварной свеклы с солеными огурцами и растительным маслом</t>
  </si>
  <si>
    <t>35/1</t>
  </si>
  <si>
    <t>Напиток из шиповника</t>
  </si>
  <si>
    <t>Салат из моркови с яблоками и изюмом</t>
  </si>
  <si>
    <t>Напиток фруктовый</t>
  </si>
  <si>
    <t>Греча по-царски</t>
  </si>
  <si>
    <t>Чай с сахаром</t>
  </si>
  <si>
    <t>44325</t>
  </si>
  <si>
    <t>44296</t>
  </si>
  <si>
    <t>46324</t>
  </si>
  <si>
    <t>44502</t>
  </si>
  <si>
    <t>15/15</t>
  </si>
  <si>
    <t>Колобки мясные с рисом</t>
  </si>
  <si>
    <t>МАОУ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</si>
</sst>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name val="Calibri"/>
    </font>
    <font>
      <sz val="12"/>
      <color rgb="FF000000"/>
      <name val="Arial"/>
      <charset val="204"/>
    </font>
    <font>
      <sz val="12"/>
      <color rgb="FF000000"/>
      <name val="Calibri"/>
      <charset val="204"/>
    </font>
    <font>
      <b/>
      <sz val="12"/>
      <color rgb="FF4C4C4C"/>
      <name val="Arial"/>
      <charset val="204"/>
    </font>
    <font>
      <sz val="12"/>
      <color rgb="FF2D2D2D"/>
      <name val="Arial"/>
      <charset val="204"/>
    </font>
    <font>
      <sz val="12"/>
      <color rgb="FF4C4C4C"/>
      <name val="Arial"/>
      <charset val="204"/>
    </font>
    <font>
      <i/>
      <sz val="12"/>
      <color rgb="FF000000"/>
      <name val="Arial"/>
      <charset val="204"/>
    </font>
    <font>
      <b/>
      <sz val="12"/>
      <color rgb="FF000000"/>
      <name val="Arial"/>
      <charset val="204"/>
    </font>
    <font>
      <b/>
      <sz val="12"/>
      <color rgb="FF2D2D2D"/>
      <name val="Arial"/>
      <charset val="204"/>
    </font>
    <font>
      <sz val="12"/>
      <color rgb="FF000000"/>
      <name val="Times New Roman"/>
      <charset val="204"/>
    </font>
    <font>
      <sz val="12"/>
      <name val="Times New Roman"/>
      <charset val="204"/>
    </font>
    <font>
      <i/>
      <sz val="12"/>
      <color rgb="FF000000"/>
      <name val="Times New Roman"/>
      <charset val="204"/>
    </font>
    <font>
      <sz val="12"/>
      <color rgb="FFFF0000"/>
      <name val="Arial"/>
      <charset val="204"/>
    </font>
    <font>
      <b/>
      <sz val="12"/>
      <color rgb="FF2D2D2D"/>
      <name val="Times New Roman"/>
      <charset val="204"/>
    </font>
    <font>
      <b/>
      <sz val="12"/>
      <color rgb="FF000000"/>
      <name val="Times New Roman"/>
      <charset val="204"/>
    </font>
    <font>
      <b/>
      <sz val="12"/>
      <name val="Times New Roman"/>
      <charset val="204"/>
    </font>
    <font>
      <b/>
      <sz val="12"/>
      <color rgb="FF000000"/>
      <name val="Calibri"/>
      <charset val="204"/>
    </font>
    <font>
      <sz val="10"/>
      <name val="Arial Cyr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7" fillId="0" borderId="0">
      <protection locked="0"/>
    </xf>
    <xf numFmtId="0" fontId="18" fillId="0" borderId="0">
      <protection locked="0"/>
    </xf>
    <xf numFmtId="0" fontId="19" fillId="0" borderId="0">
      <protection locked="0"/>
    </xf>
    <xf numFmtId="0" fontId="18" fillId="0" borderId="0">
      <protection locked="0"/>
    </xf>
    <xf numFmtId="0" fontId="20" fillId="0" borderId="0">
      <protection locked="0"/>
    </xf>
  </cellStyleXfs>
  <cellXfs count="1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2" fontId="1" fillId="0" borderId="0" xfId="0" applyNumberFormat="1" applyFo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right" vertical="center"/>
    </xf>
    <xf numFmtId="2" fontId="1" fillId="0" borderId="3" xfId="0" applyNumberFormat="1" applyFont="1" applyBorder="1">
      <alignment vertical="center"/>
    </xf>
    <xf numFmtId="0" fontId="1" fillId="0" borderId="5" xfId="0" applyFont="1" applyBorder="1">
      <alignment vertical="center"/>
    </xf>
    <xf numFmtId="2" fontId="1" fillId="0" borderId="6" xfId="0" applyNumberFormat="1" applyFont="1" applyBorder="1">
      <alignment vertical="center"/>
    </xf>
    <xf numFmtId="0" fontId="4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/>
    </xf>
    <xf numFmtId="2" fontId="10" fillId="3" borderId="5" xfId="1" applyNumberFormat="1" applyFont="1" applyFill="1" applyBorder="1" applyAlignment="1" applyProtection="1">
      <alignment horizontal="left" vertical="center" wrapText="1"/>
    </xf>
    <xf numFmtId="2" fontId="10" fillId="3" borderId="5" xfId="0" applyNumberFormat="1" applyFont="1" applyFill="1" applyBorder="1" applyAlignment="1" applyProtection="1">
      <alignment horizontal="left" vertical="center"/>
      <protection locked="0"/>
    </xf>
    <xf numFmtId="2" fontId="10" fillId="3" borderId="5" xfId="1" applyNumberFormat="1" applyFont="1" applyFill="1" applyBorder="1" applyAlignment="1" applyProtection="1">
      <alignment horizontal="left" vertical="center"/>
    </xf>
    <xf numFmtId="49" fontId="1" fillId="3" borderId="5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>
      <alignment vertical="center"/>
    </xf>
    <xf numFmtId="0" fontId="9" fillId="3" borderId="5" xfId="0" applyFont="1" applyFill="1" applyBorder="1" applyAlignment="1" applyProtection="1">
      <alignment horizontal="left" vertical="center"/>
      <protection locked="0"/>
    </xf>
    <xf numFmtId="2" fontId="10" fillId="3" borderId="5" xfId="0" applyNumberFormat="1" applyFont="1" applyFill="1" applyBorder="1" applyAlignment="1">
      <alignment horizontal="left" vertical="center"/>
    </xf>
    <xf numFmtId="2" fontId="9" fillId="0" borderId="5" xfId="0" applyNumberFormat="1" applyFont="1" applyFill="1" applyBorder="1" applyAlignment="1">
      <alignment horizontal="left" vertical="center"/>
    </xf>
    <xf numFmtId="2" fontId="10" fillId="3" borderId="5" xfId="0" applyNumberFormat="1" applyFont="1" applyFill="1" applyBorder="1" applyAlignment="1">
      <alignment horizontal="left" vertical="center" wrapText="1"/>
    </xf>
    <xf numFmtId="0" fontId="1" fillId="3" borderId="5" xfId="0" applyFont="1" applyFill="1" applyBorder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left" vertical="center"/>
    </xf>
    <xf numFmtId="0" fontId="11" fillId="4" borderId="5" xfId="0" applyFont="1" applyFill="1" applyBorder="1" applyAlignment="1" applyProtection="1">
      <alignment horizontal="left" vertical="center"/>
      <protection locked="0"/>
    </xf>
    <xf numFmtId="0" fontId="1" fillId="4" borderId="5" xfId="0" applyFont="1" applyFill="1" applyBorder="1" applyAlignment="1">
      <alignment horizontal="left" vertical="center" wrapText="1"/>
    </xf>
    <xf numFmtId="2" fontId="7" fillId="4" borderId="5" xfId="0" applyNumberFormat="1" applyFont="1" applyFill="1" applyBorder="1" applyAlignment="1">
      <alignment horizontal="left" vertical="center" wrapText="1"/>
    </xf>
    <xf numFmtId="49" fontId="1" fillId="4" borderId="5" xfId="0" applyNumberFormat="1" applyFont="1" applyFill="1" applyBorder="1" applyAlignment="1">
      <alignment horizontal="center" vertical="center" wrapText="1"/>
    </xf>
    <xf numFmtId="2" fontId="7" fillId="4" borderId="6" xfId="0" applyNumberFormat="1" applyFont="1" applyFill="1" applyBorder="1" applyAlignment="1">
      <alignment horizontal="center" vertical="center" wrapText="1"/>
    </xf>
    <xf numFmtId="49" fontId="10" fillId="3" borderId="5" xfId="1" applyNumberFormat="1" applyFont="1" applyFill="1" applyBorder="1" applyAlignment="1" applyProtection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2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5" xfId="1" applyFont="1" applyFill="1" applyBorder="1" applyAlignment="1" applyProtection="1">
      <alignment horizontal="left" vertical="center" wrapText="1"/>
    </xf>
    <xf numFmtId="0" fontId="12" fillId="3" borderId="0" xfId="0" applyFont="1" applyFill="1">
      <alignment vertical="center"/>
    </xf>
    <xf numFmtId="2" fontId="10" fillId="3" borderId="5" xfId="2" applyNumberFormat="1" applyFont="1" applyFill="1" applyBorder="1" applyAlignment="1" applyProtection="1">
      <alignment horizontal="left" vertical="center"/>
    </xf>
    <xf numFmtId="49" fontId="10" fillId="3" borderId="5" xfId="0" applyNumberFormat="1" applyFont="1" applyFill="1" applyBorder="1" applyAlignment="1">
      <alignment horizontal="center" vertical="center"/>
    </xf>
    <xf numFmtId="2" fontId="15" fillId="3" borderId="6" xfId="2" applyNumberFormat="1" applyFont="1" applyFill="1" applyBorder="1" applyAlignment="1" applyProtection="1">
      <alignment horizontal="center" vertical="center"/>
    </xf>
    <xf numFmtId="2" fontId="10" fillId="0" borderId="5" xfId="2" applyNumberFormat="1" applyFont="1" applyFill="1" applyBorder="1" applyAlignment="1" applyProtection="1">
      <alignment horizontal="left" vertical="center" wrapText="1"/>
    </xf>
    <xf numFmtId="2" fontId="15" fillId="2" borderId="6" xfId="2" applyNumberFormat="1" applyFont="1" applyFill="1" applyBorder="1" applyAlignment="1" applyProtection="1">
      <alignment horizontal="center" vertical="center"/>
    </xf>
    <xf numFmtId="2" fontId="10" fillId="0" borderId="5" xfId="2" applyNumberFormat="1" applyFont="1" applyFill="1" applyBorder="1" applyAlignment="1" applyProtection="1">
      <alignment horizontal="left" vertical="center"/>
    </xf>
    <xf numFmtId="2" fontId="15" fillId="2" borderId="6" xfId="3" applyNumberFormat="1" applyFont="1" applyFill="1" applyBorder="1" applyAlignment="1" applyProtection="1">
      <alignment horizontal="center" vertical="center"/>
    </xf>
    <xf numFmtId="2" fontId="7" fillId="3" borderId="5" xfId="0" applyNumberFormat="1" applyFont="1" applyFill="1" applyBorder="1" applyAlignment="1" applyProtection="1">
      <alignment horizontal="left" vertical="center" wrapText="1"/>
      <protection locked="0"/>
    </xf>
    <xf numFmtId="2" fontId="7" fillId="4" borderId="7" xfId="0" applyNumberFormat="1" applyFont="1" applyFill="1" applyBorder="1" applyAlignment="1">
      <alignment horizontal="left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left" vertical="center" wrapText="1"/>
    </xf>
    <xf numFmtId="2" fontId="9" fillId="0" borderId="5" xfId="4" applyNumberFormat="1" applyFont="1" applyFill="1" applyBorder="1" applyAlignment="1" applyProtection="1">
      <alignment horizontal="left" vertical="center"/>
    </xf>
    <xf numFmtId="2" fontId="1" fillId="3" borderId="5" xfId="0" applyNumberFormat="1" applyFont="1" applyFill="1" applyBorder="1" applyAlignment="1" applyProtection="1">
      <alignment horizontal="left" vertical="center" wrapText="1"/>
      <protection locked="0"/>
    </xf>
    <xf numFmtId="0" fontId="9" fillId="0" borderId="5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/>
    </xf>
    <xf numFmtId="49" fontId="1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left" vertical="center"/>
      <protection locked="0"/>
    </xf>
    <xf numFmtId="0" fontId="9" fillId="0" borderId="5" xfId="4" applyFont="1" applyFill="1" applyBorder="1" applyAlignment="1" applyProtection="1">
      <alignment horizontal="left" vertical="center" wrapText="1"/>
    </xf>
    <xf numFmtId="49" fontId="9" fillId="3" borderId="9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0" xfId="0" applyFont="1" applyFill="1" applyBorder="1" applyAlignment="1">
      <alignment horizontal="left" vertical="center" wrapText="1"/>
    </xf>
    <xf numFmtId="2" fontId="7" fillId="4" borderId="10" xfId="0" applyNumberFormat="1" applyFont="1" applyFill="1" applyBorder="1" applyAlignment="1">
      <alignment horizontal="left" vertical="center" wrapText="1"/>
    </xf>
    <xf numFmtId="49" fontId="10" fillId="3" borderId="5" xfId="1" applyNumberFormat="1" applyFont="1" applyFill="1" applyBorder="1" applyAlignment="1" applyProtection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49" fontId="10" fillId="3" borderId="9" xfId="0" applyNumberFormat="1" applyFont="1" applyFill="1" applyBorder="1" applyAlignment="1">
      <alignment horizontal="center" vertical="center"/>
    </xf>
    <xf numFmtId="2" fontId="9" fillId="0" borderId="5" xfId="4" applyNumberFormat="1" applyFont="1" applyFill="1" applyBorder="1" applyAlignment="1" applyProtection="1">
      <alignment vertical="center" wrapText="1"/>
    </xf>
    <xf numFmtId="2" fontId="9" fillId="0" borderId="5" xfId="4" applyNumberFormat="1" applyFont="1" applyFill="1" applyBorder="1" applyAlignment="1">
      <alignment horizontal="left" vertical="center"/>
      <protection locked="0"/>
    </xf>
    <xf numFmtId="0" fontId="9" fillId="0" borderId="5" xfId="4" applyFont="1" applyFill="1" applyBorder="1" applyAlignment="1" applyProtection="1">
      <alignment vertical="center" wrapText="1"/>
    </xf>
    <xf numFmtId="0" fontId="9" fillId="0" borderId="5" xfId="0" applyFont="1" applyFill="1" applyBorder="1" applyAlignment="1">
      <alignment vertical="center" wrapText="1"/>
    </xf>
    <xf numFmtId="2" fontId="9" fillId="0" borderId="5" xfId="0" applyNumberFormat="1" applyFont="1" applyFill="1" applyBorder="1">
      <alignment vertical="center"/>
    </xf>
    <xf numFmtId="49" fontId="9" fillId="3" borderId="5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5" xfId="1" applyNumberFormat="1" applyFont="1" applyFill="1" applyBorder="1" applyAlignment="1" applyProtection="1">
      <alignment vertical="center" wrapText="1"/>
    </xf>
    <xf numFmtId="49" fontId="9" fillId="0" borderId="5" xfId="0" applyNumberFormat="1" applyFont="1" applyFill="1" applyBorder="1" applyAlignment="1">
      <alignment horizontal="center" vertical="center"/>
    </xf>
    <xf numFmtId="2" fontId="10" fillId="3" borderId="5" xfId="0" applyNumberFormat="1" applyFont="1" applyFill="1" applyBorder="1" applyAlignment="1">
      <alignment vertical="center" wrapText="1"/>
    </xf>
    <xf numFmtId="2" fontId="15" fillId="3" borderId="5" xfId="0" applyNumberFormat="1" applyFont="1" applyFill="1" applyBorder="1">
      <alignment vertical="center"/>
    </xf>
    <xf numFmtId="0" fontId="9" fillId="0" borderId="5" xfId="0" applyFont="1" applyFill="1" applyBorder="1" applyAlignment="1">
      <alignment horizontal="left" vertical="center"/>
    </xf>
    <xf numFmtId="2" fontId="10" fillId="0" borderId="5" xfId="0" applyNumberFormat="1" applyFont="1" applyFill="1" applyBorder="1" applyAlignment="1">
      <alignment horizontal="left" vertical="center" wrapText="1"/>
    </xf>
    <xf numFmtId="2" fontId="10" fillId="0" borderId="5" xfId="0" applyNumberFormat="1" applyFont="1" applyBorder="1" applyAlignment="1">
      <alignment horizontal="left" vertical="center" wrapText="1"/>
    </xf>
    <xf numFmtId="2" fontId="10" fillId="0" borderId="5" xfId="0" applyNumberFormat="1" applyFont="1" applyBorder="1" applyAlignment="1">
      <alignment horizontal="left" vertical="center"/>
    </xf>
    <xf numFmtId="2" fontId="15" fillId="3" borderId="5" xfId="0" applyNumberFormat="1" applyFont="1" applyFill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2" fontId="10" fillId="0" borderId="5" xfId="0" applyNumberFormat="1" applyFont="1" applyFill="1" applyBorder="1" applyAlignment="1">
      <alignment horizontal="left" vertical="center"/>
    </xf>
    <xf numFmtId="2" fontId="10" fillId="0" borderId="5" xfId="0" applyNumberFormat="1" applyFont="1" applyFill="1" applyBorder="1" applyAlignment="1">
      <alignment horizontal="left" wrapText="1"/>
    </xf>
    <xf numFmtId="2" fontId="10" fillId="0" borderId="5" xfId="0" applyNumberFormat="1" applyFont="1" applyFill="1" applyBorder="1" applyAlignment="1">
      <alignment horizontal="left"/>
    </xf>
    <xf numFmtId="2" fontId="15" fillId="2" borderId="6" xfId="0" applyNumberFormat="1" applyFont="1" applyFill="1" applyBorder="1" applyAlignment="1">
      <alignment horizontal="center" vertical="center"/>
    </xf>
    <xf numFmtId="0" fontId="1" fillId="5" borderId="0" xfId="0" applyFont="1" applyFill="1">
      <alignment vertical="center"/>
    </xf>
    <xf numFmtId="2" fontId="9" fillId="0" borderId="5" xfId="4" applyNumberFormat="1" applyFont="1" applyFill="1" applyBorder="1" applyAlignment="1" applyProtection="1">
      <alignment horizontal="left" vertical="center" wrapText="1"/>
    </xf>
    <xf numFmtId="0" fontId="9" fillId="3" borderId="5" xfId="0" applyFont="1" applyFill="1" applyBorder="1" applyAlignment="1" applyProtection="1">
      <alignment horizontal="left" vertical="center" wrapText="1"/>
      <protection locked="0"/>
    </xf>
    <xf numFmtId="2" fontId="14" fillId="4" borderId="5" xfId="0" applyNumberFormat="1" applyFont="1" applyFill="1" applyBorder="1" applyAlignment="1">
      <alignment horizontal="left" vertical="center" wrapText="1"/>
    </xf>
    <xf numFmtId="2" fontId="9" fillId="3" borderId="5" xfId="5" applyNumberFormat="1" applyFont="1" applyFill="1" applyBorder="1" applyAlignment="1" applyProtection="1">
      <alignment vertical="center" wrapText="1"/>
    </xf>
    <xf numFmtId="2" fontId="9" fillId="3" borderId="5" xfId="5" applyNumberFormat="1" applyFont="1" applyFill="1" applyBorder="1" applyAlignment="1" applyProtection="1">
      <alignment horizontal="left" vertical="center"/>
    </xf>
    <xf numFmtId="2" fontId="9" fillId="3" borderId="5" xfId="0" applyNumberFormat="1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2" fontId="7" fillId="3" borderId="12" xfId="0" applyNumberFormat="1" applyFont="1" applyFill="1" applyBorder="1" applyAlignment="1">
      <alignment horizontal="left" vertical="center"/>
    </xf>
    <xf numFmtId="49" fontId="1" fillId="3" borderId="12" xfId="0" applyNumberFormat="1" applyFont="1" applyFill="1" applyBorder="1" applyAlignment="1">
      <alignment horizontal="center" vertical="center"/>
    </xf>
    <xf numFmtId="2" fontId="7" fillId="3" borderId="13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49" fontId="1" fillId="3" borderId="0" xfId="0" applyNumberFormat="1" applyFont="1" applyFill="1" applyAlignment="1">
      <alignment horizontal="center" vertical="center"/>
    </xf>
    <xf numFmtId="2" fontId="1" fillId="3" borderId="0" xfId="0" applyNumberFormat="1" applyFont="1" applyFill="1">
      <alignment vertical="center"/>
    </xf>
    <xf numFmtId="0" fontId="1" fillId="3" borderId="0" xfId="0" applyFont="1" applyFill="1" applyBorder="1">
      <alignment vertical="center"/>
    </xf>
    <xf numFmtId="0" fontId="1" fillId="3" borderId="0" xfId="0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center" vertical="center"/>
    </xf>
    <xf numFmtId="2" fontId="1" fillId="3" borderId="0" xfId="0" applyNumberFormat="1" applyFont="1" applyFill="1" applyBorder="1">
      <alignment vertical="center"/>
    </xf>
    <xf numFmtId="2" fontId="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Border="1" applyAlignment="1">
      <alignment horizontal="left" vertical="center" wrapText="1"/>
    </xf>
    <xf numFmtId="2" fontId="10" fillId="3" borderId="0" xfId="0" applyNumberFormat="1" applyFont="1" applyFill="1" applyBorder="1" applyAlignment="1">
      <alignment horizontal="left" vertical="center" wrapText="1"/>
    </xf>
    <xf numFmtId="2" fontId="15" fillId="3" borderId="0" xfId="0" applyNumberFormat="1" applyFont="1" applyFill="1" applyBorder="1" applyAlignment="1">
      <alignment horizontal="left" vertical="center"/>
    </xf>
    <xf numFmtId="49" fontId="10" fillId="3" borderId="0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 applyProtection="1">
      <alignment horizontal="left" vertical="center" wrapText="1"/>
      <protection locked="0"/>
    </xf>
    <xf numFmtId="0" fontId="10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 wrapText="1"/>
    </xf>
    <xf numFmtId="2" fontId="14" fillId="3" borderId="0" xfId="0" applyNumberFormat="1" applyFont="1" applyFill="1" applyBorder="1" applyAlignment="1">
      <alignment horizontal="left" vertical="center"/>
    </xf>
    <xf numFmtId="49" fontId="1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Border="1">
      <alignment vertical="center"/>
    </xf>
    <xf numFmtId="0" fontId="10" fillId="0" borderId="0" xfId="0" applyFont="1" applyBorder="1" applyAlignment="1">
      <alignment horizontal="left" vertical="center" wrapText="1"/>
    </xf>
    <xf numFmtId="2" fontId="15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>
      <alignment vertical="center"/>
    </xf>
    <xf numFmtId="0" fontId="1" fillId="0" borderId="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/>
    </xf>
    <xf numFmtId="0" fontId="8" fillId="4" borderId="5" xfId="0" applyFont="1" applyFill="1" applyBorder="1" applyAlignment="1">
      <alignment horizontal="left"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4" fillId="4" borderId="5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>
      <alignment horizontal="left" vertical="center"/>
    </xf>
    <xf numFmtId="0" fontId="2" fillId="0" borderId="5" xfId="0" applyFont="1" applyBorder="1">
      <alignment vertical="center"/>
    </xf>
  </cellXfs>
  <cellStyles count="6">
    <cellStyle name="Обычный" xfId="0" builtinId="0"/>
    <cellStyle name="Обычный 2" xfId="4"/>
    <cellStyle name="Обычный 2 2" xfId="5"/>
    <cellStyle name="Обычный 3" xfId="2"/>
    <cellStyle name="Обычный 4" xfId="1"/>
    <cellStyle name="Обычный 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1"/>
  <sheetViews>
    <sheetView showGridLines="0" tabSelected="1" zoomScale="70" workbookViewId="0">
      <selection activeCell="A2" sqref="A2:F2"/>
    </sheetView>
  </sheetViews>
  <sheetFormatPr defaultColWidth="4.7109375" defaultRowHeight="15" x14ac:dyDescent="0.25"/>
  <cols>
    <col min="1" max="1" width="6.5703125" style="1" customWidth="1"/>
    <col min="2" max="2" width="6.7109375" style="1" customWidth="1"/>
    <col min="3" max="3" width="10.42578125" style="2" customWidth="1"/>
    <col min="4" max="4" width="15.42578125" style="2" customWidth="1"/>
    <col min="5" max="5" width="36.7109375" style="3" customWidth="1"/>
    <col min="6" max="6" width="11.42578125" style="1" customWidth="1"/>
    <col min="7" max="7" width="8.5703125" style="1" customWidth="1"/>
    <col min="8" max="8" width="9.7109375" style="1" customWidth="1"/>
    <col min="9" max="9" width="9.85546875" style="1" customWidth="1"/>
    <col min="10" max="10" width="10.7109375" style="1" customWidth="1"/>
    <col min="11" max="11" width="8.7109375" style="4" customWidth="1"/>
    <col min="12" max="12" width="13.5703125" style="5" customWidth="1"/>
    <col min="13" max="16384" width="4.7109375" style="1"/>
  </cols>
  <sheetData>
    <row r="1" spans="1:14" ht="15.75" x14ac:dyDescent="0.25">
      <c r="A1" s="6" t="s">
        <v>0</v>
      </c>
      <c r="B1" s="7"/>
      <c r="C1" s="146" t="s">
        <v>161</v>
      </c>
      <c r="D1" s="147"/>
      <c r="E1" s="147"/>
      <c r="F1" s="8" t="s">
        <v>1</v>
      </c>
      <c r="G1" s="7" t="s">
        <v>2</v>
      </c>
      <c r="H1" s="148" t="s">
        <v>74</v>
      </c>
      <c r="I1" s="148"/>
      <c r="J1" s="148"/>
      <c r="K1" s="148"/>
      <c r="L1" s="9"/>
    </row>
    <row r="2" spans="1:14" ht="15.75" x14ac:dyDescent="0.25">
      <c r="A2" s="150" t="s">
        <v>3</v>
      </c>
      <c r="B2" s="151"/>
      <c r="C2" s="151"/>
      <c r="D2" s="151"/>
      <c r="E2" s="151"/>
      <c r="F2" s="151"/>
      <c r="G2" s="10" t="s">
        <v>4</v>
      </c>
      <c r="H2" s="149" t="s">
        <v>75</v>
      </c>
      <c r="I2" s="149"/>
      <c r="J2" s="149"/>
      <c r="K2" s="149"/>
      <c r="L2" s="11"/>
    </row>
    <row r="3" spans="1:14" x14ac:dyDescent="0.25">
      <c r="A3" s="12" t="s">
        <v>5</v>
      </c>
      <c r="B3" s="10"/>
      <c r="C3" s="10"/>
      <c r="D3" s="13"/>
      <c r="E3" s="14" t="s">
        <v>107</v>
      </c>
      <c r="F3" s="10"/>
      <c r="G3" s="10" t="s">
        <v>6</v>
      </c>
      <c r="H3" s="15">
        <v>14</v>
      </c>
      <c r="I3" s="15">
        <v>9</v>
      </c>
      <c r="J3" s="15">
        <v>2026</v>
      </c>
      <c r="K3" s="16"/>
      <c r="L3" s="11"/>
    </row>
    <row r="4" spans="1:14" x14ac:dyDescent="0.25">
      <c r="A4" s="17"/>
      <c r="B4" s="10"/>
      <c r="C4" s="10"/>
      <c r="D4" s="18"/>
      <c r="E4" s="19"/>
      <c r="F4" s="10"/>
      <c r="G4" s="10"/>
      <c r="H4" s="20" t="s">
        <v>7</v>
      </c>
      <c r="I4" s="20" t="s">
        <v>8</v>
      </c>
      <c r="J4" s="20" t="s">
        <v>9</v>
      </c>
      <c r="K4" s="21"/>
      <c r="L4" s="11"/>
    </row>
    <row r="5" spans="1:14" ht="63" x14ac:dyDescent="0.25">
      <c r="A5" s="22" t="s">
        <v>10</v>
      </c>
      <c r="B5" s="23" t="s">
        <v>11</v>
      </c>
      <c r="C5" s="24" t="s">
        <v>12</v>
      </c>
      <c r="D5" s="24" t="s">
        <v>13</v>
      </c>
      <c r="E5" s="25" t="s">
        <v>14</v>
      </c>
      <c r="F5" s="24" t="s">
        <v>15</v>
      </c>
      <c r="G5" s="24" t="s">
        <v>16</v>
      </c>
      <c r="H5" s="24" t="s">
        <v>109</v>
      </c>
      <c r="I5" s="24" t="s">
        <v>17</v>
      </c>
      <c r="J5" s="24" t="s">
        <v>18</v>
      </c>
      <c r="K5" s="26" t="s">
        <v>19</v>
      </c>
      <c r="L5" s="27" t="s">
        <v>20</v>
      </c>
    </row>
    <row r="6" spans="1:14" ht="31.5" x14ac:dyDescent="0.25">
      <c r="A6" s="28">
        <v>1</v>
      </c>
      <c r="B6" s="29">
        <v>1</v>
      </c>
      <c r="C6" s="30" t="s">
        <v>21</v>
      </c>
      <c r="D6" s="30" t="s">
        <v>22</v>
      </c>
      <c r="E6" s="31" t="s">
        <v>52</v>
      </c>
      <c r="F6" s="32">
        <v>200</v>
      </c>
      <c r="G6" s="33">
        <f>F6*7.5/200</f>
        <v>7.5</v>
      </c>
      <c r="H6" s="33">
        <f>F6*11.4/200</f>
        <v>11.4</v>
      </c>
      <c r="I6" s="33">
        <f>31.3*F6/200</f>
        <v>31.3</v>
      </c>
      <c r="J6" s="33">
        <f>257.8*F6/200</f>
        <v>257.8</v>
      </c>
      <c r="K6" s="34" t="s">
        <v>79</v>
      </c>
      <c r="L6" s="35"/>
      <c r="M6" s="36"/>
    </row>
    <row r="7" spans="1:14" ht="15.75" x14ac:dyDescent="0.25">
      <c r="A7" s="28"/>
      <c r="B7" s="29"/>
      <c r="C7" s="30"/>
      <c r="D7" s="37" t="s">
        <v>131</v>
      </c>
      <c r="E7" s="31" t="s">
        <v>67</v>
      </c>
      <c r="F7" s="38">
        <v>100</v>
      </c>
      <c r="G7" s="38">
        <v>0.4</v>
      </c>
      <c r="H7" s="38">
        <v>0.4</v>
      </c>
      <c r="I7" s="38">
        <v>10.95</v>
      </c>
      <c r="J7" s="38">
        <v>49</v>
      </c>
      <c r="K7" s="34" t="s">
        <v>25</v>
      </c>
      <c r="L7" s="35"/>
      <c r="M7" s="36"/>
    </row>
    <row r="8" spans="1:14" ht="15.75" x14ac:dyDescent="0.25">
      <c r="A8" s="28"/>
      <c r="B8" s="29"/>
      <c r="C8" s="30"/>
      <c r="D8" s="30" t="s">
        <v>23</v>
      </c>
      <c r="E8" s="39" t="s">
        <v>146</v>
      </c>
      <c r="F8" s="39">
        <v>200</v>
      </c>
      <c r="G8" s="39">
        <v>0.2</v>
      </c>
      <c r="H8" s="39">
        <v>0</v>
      </c>
      <c r="I8" s="39">
        <v>13.7</v>
      </c>
      <c r="J8" s="39">
        <v>56</v>
      </c>
      <c r="K8" s="34" t="s">
        <v>147</v>
      </c>
      <c r="L8" s="35"/>
      <c r="M8" s="36"/>
    </row>
    <row r="9" spans="1:14" ht="15.75" x14ac:dyDescent="0.25">
      <c r="A9" s="28"/>
      <c r="B9" s="29"/>
      <c r="C9" s="30"/>
      <c r="D9" s="30" t="s">
        <v>35</v>
      </c>
      <c r="E9" s="31" t="s">
        <v>26</v>
      </c>
      <c r="F9" s="32">
        <v>70</v>
      </c>
      <c r="G9" s="32">
        <f>F9*6.1/50</f>
        <v>8.5399999999999991</v>
      </c>
      <c r="H9" s="32">
        <f>F9*3.7/50</f>
        <v>5.18</v>
      </c>
      <c r="I9" s="32">
        <f>F9*17.5/50</f>
        <v>24.5</v>
      </c>
      <c r="J9" s="32">
        <f>F9*127.7/50</f>
        <v>178.78</v>
      </c>
      <c r="K9" s="34" t="s">
        <v>80</v>
      </c>
      <c r="L9" s="35"/>
      <c r="M9" s="36"/>
    </row>
    <row r="10" spans="1:14" ht="31.5" x14ac:dyDescent="0.25">
      <c r="A10" s="28"/>
      <c r="B10" s="29"/>
      <c r="C10" s="30"/>
      <c r="D10" s="30" t="s">
        <v>37</v>
      </c>
      <c r="E10" s="40" t="s">
        <v>141</v>
      </c>
      <c r="F10" s="38">
        <v>30</v>
      </c>
      <c r="G10" s="38">
        <f>1.68*F10/30</f>
        <v>1.68</v>
      </c>
      <c r="H10" s="38">
        <f>0.33*F10/30</f>
        <v>0.33</v>
      </c>
      <c r="I10" s="38">
        <f>14.82*F10/30</f>
        <v>14.82</v>
      </c>
      <c r="J10" s="38">
        <f>68.97*F10/30</f>
        <v>68.97</v>
      </c>
      <c r="K10" s="34" t="s">
        <v>25</v>
      </c>
      <c r="L10" s="35"/>
      <c r="M10" s="36"/>
    </row>
    <row r="11" spans="1:14" ht="15.75" x14ac:dyDescent="0.25">
      <c r="A11" s="28"/>
      <c r="B11" s="29"/>
      <c r="C11" s="30"/>
      <c r="D11" s="37"/>
      <c r="E11" s="41"/>
      <c r="F11" s="42"/>
      <c r="G11" s="42"/>
      <c r="H11" s="42"/>
      <c r="I11" s="42"/>
      <c r="J11" s="42"/>
      <c r="K11" s="34"/>
      <c r="L11" s="35"/>
      <c r="M11" s="36"/>
    </row>
    <row r="12" spans="1:14" ht="15.75" x14ac:dyDescent="0.25">
      <c r="A12" s="43"/>
      <c r="B12" s="44"/>
      <c r="C12" s="45"/>
      <c r="D12" s="46" t="s">
        <v>27</v>
      </c>
      <c r="E12" s="47"/>
      <c r="F12" s="48">
        <f>SUM(F6:F11)</f>
        <v>600</v>
      </c>
      <c r="G12" s="48">
        <f>SUM(G6:G11)</f>
        <v>18.32</v>
      </c>
      <c r="H12" s="48">
        <f>SUM(H6:H11)</f>
        <v>17.309999999999999</v>
      </c>
      <c r="I12" s="48">
        <f>SUM(I6:I11)</f>
        <v>95.27000000000001</v>
      </c>
      <c r="J12" s="48">
        <f>SUM(J6:J11)</f>
        <v>610.55000000000007</v>
      </c>
      <c r="K12" s="49"/>
      <c r="L12" s="50">
        <f>SUM(L6:L11)</f>
        <v>0</v>
      </c>
      <c r="M12" s="36"/>
    </row>
    <row r="13" spans="1:14" ht="31.5" x14ac:dyDescent="0.25">
      <c r="A13" s="28">
        <f>A6</f>
        <v>1</v>
      </c>
      <c r="B13" s="29">
        <f>B6</f>
        <v>1</v>
      </c>
      <c r="C13" s="30" t="s">
        <v>28</v>
      </c>
      <c r="D13" s="30" t="s">
        <v>29</v>
      </c>
      <c r="E13" s="31" t="s">
        <v>114</v>
      </c>
      <c r="F13" s="38">
        <v>60</v>
      </c>
      <c r="G13" s="38">
        <f>F13*0.6/60</f>
        <v>0.6</v>
      </c>
      <c r="H13" s="38">
        <f>F13*6/60</f>
        <v>6</v>
      </c>
      <c r="I13" s="38">
        <f>F13*4.74/60</f>
        <v>4.74</v>
      </c>
      <c r="J13" s="38">
        <f>F13*75.44/60</f>
        <v>75.44</v>
      </c>
      <c r="K13" s="51" t="s">
        <v>68</v>
      </c>
      <c r="L13" s="35"/>
      <c r="M13" s="36"/>
    </row>
    <row r="14" spans="1:14" s="36" customFormat="1" ht="31.5" x14ac:dyDescent="0.25">
      <c r="A14" s="52"/>
      <c r="B14" s="53"/>
      <c r="C14" s="30"/>
      <c r="D14" s="30" t="s">
        <v>30</v>
      </c>
      <c r="E14" s="31" t="s">
        <v>115</v>
      </c>
      <c r="F14" s="32">
        <v>200</v>
      </c>
      <c r="G14" s="33">
        <f>F14*6.3/200</f>
        <v>6.3</v>
      </c>
      <c r="H14" s="33">
        <f>F14*6.2/200</f>
        <v>6.2</v>
      </c>
      <c r="I14" s="33">
        <f>F14*17.2/200</f>
        <v>17.2</v>
      </c>
      <c r="J14" s="33">
        <f>F14*150.6/200</f>
        <v>150.6</v>
      </c>
      <c r="K14" s="51" t="s">
        <v>69</v>
      </c>
      <c r="L14" s="54"/>
    </row>
    <row r="15" spans="1:14" ht="15.75" x14ac:dyDescent="0.25">
      <c r="A15" s="28"/>
      <c r="B15" s="29"/>
      <c r="C15" s="30"/>
      <c r="D15" s="30" t="s">
        <v>31</v>
      </c>
      <c r="E15" s="55" t="s">
        <v>45</v>
      </c>
      <c r="F15" s="38">
        <v>90</v>
      </c>
      <c r="G15" s="38">
        <f>F15*14.04/90</f>
        <v>14.04</v>
      </c>
      <c r="H15" s="38">
        <f>F15*17.46/90</f>
        <v>17.46</v>
      </c>
      <c r="I15" s="38">
        <f>F15*14.31/90</f>
        <v>14.31</v>
      </c>
      <c r="J15" s="38">
        <f>F15*270.86/90</f>
        <v>270.86</v>
      </c>
      <c r="K15" s="51" t="s">
        <v>46</v>
      </c>
      <c r="L15" s="35"/>
      <c r="M15" s="56"/>
      <c r="N15" s="56"/>
    </row>
    <row r="16" spans="1:14" ht="15.75" x14ac:dyDescent="0.25">
      <c r="A16" s="28"/>
      <c r="B16" s="29"/>
      <c r="C16" s="30"/>
      <c r="D16" s="30" t="s">
        <v>32</v>
      </c>
      <c r="E16" s="31" t="s">
        <v>33</v>
      </c>
      <c r="F16" s="32">
        <v>150</v>
      </c>
      <c r="G16" s="38">
        <f>F16*5.33/150</f>
        <v>5.33</v>
      </c>
      <c r="H16" s="38">
        <f>F16*3/150</f>
        <v>3</v>
      </c>
      <c r="I16" s="38">
        <f>F16*32.4/150</f>
        <v>32.4</v>
      </c>
      <c r="J16" s="38">
        <f>F16*177.75/150</f>
        <v>177.75</v>
      </c>
      <c r="K16" s="51" t="s">
        <v>59</v>
      </c>
      <c r="L16" s="35"/>
      <c r="M16" s="36"/>
    </row>
    <row r="17" spans="1:13" ht="15.75" x14ac:dyDescent="0.25">
      <c r="A17" s="28"/>
      <c r="B17" s="29"/>
      <c r="C17" s="30"/>
      <c r="D17" s="30" t="s">
        <v>76</v>
      </c>
      <c r="E17" s="31" t="s">
        <v>34</v>
      </c>
      <c r="F17" s="32">
        <v>200</v>
      </c>
      <c r="G17" s="33">
        <f>0.4*F17/200</f>
        <v>0.4</v>
      </c>
      <c r="H17" s="33">
        <f>0.2*F17/200</f>
        <v>0.2</v>
      </c>
      <c r="I17" s="33">
        <f>16.1*F17/200</f>
        <v>16.100000000000001</v>
      </c>
      <c r="J17" s="33">
        <f>68*F17/200</f>
        <v>68</v>
      </c>
      <c r="K17" s="51">
        <v>44206</v>
      </c>
      <c r="L17" s="35"/>
      <c r="M17" s="36"/>
    </row>
    <row r="18" spans="1:13" ht="31.5" x14ac:dyDescent="0.25">
      <c r="A18" s="28"/>
      <c r="B18" s="29"/>
      <c r="C18" s="30"/>
      <c r="D18" s="30" t="s">
        <v>35</v>
      </c>
      <c r="E18" s="40" t="s">
        <v>36</v>
      </c>
      <c r="F18" s="38">
        <v>37</v>
      </c>
      <c r="G18" s="38">
        <f>SUM(F18*2.37/30)</f>
        <v>2.923</v>
      </c>
      <c r="H18" s="38">
        <f>SUM(F18*0.3/30)</f>
        <v>0.37</v>
      </c>
      <c r="I18" s="38">
        <f>SUM(F18*14.49/30)</f>
        <v>17.870999999999999</v>
      </c>
      <c r="J18" s="38">
        <f>SUM(F18*70.14/30)</f>
        <v>86.506</v>
      </c>
      <c r="K18" s="51" t="s">
        <v>25</v>
      </c>
      <c r="L18" s="35"/>
      <c r="M18" s="36"/>
    </row>
    <row r="19" spans="1:13" ht="31.5" x14ac:dyDescent="0.25">
      <c r="A19" s="28"/>
      <c r="B19" s="29"/>
      <c r="C19" s="30"/>
      <c r="D19" s="30" t="s">
        <v>37</v>
      </c>
      <c r="E19" s="31" t="s">
        <v>141</v>
      </c>
      <c r="F19" s="38">
        <v>30</v>
      </c>
      <c r="G19" s="38">
        <f>SUM(F19*1.68/30)</f>
        <v>1.68</v>
      </c>
      <c r="H19" s="38">
        <f>SUM(F19*0.33/30)</f>
        <v>0.33</v>
      </c>
      <c r="I19" s="38">
        <f>SUM(F19*14.82/30)</f>
        <v>14.82</v>
      </c>
      <c r="J19" s="38">
        <f>SUM(F19*68.97/30)</f>
        <v>68.97</v>
      </c>
      <c r="K19" s="51" t="s">
        <v>39</v>
      </c>
      <c r="L19" s="35"/>
      <c r="M19" s="36"/>
    </row>
    <row r="20" spans="1:13" ht="15.75" x14ac:dyDescent="0.25">
      <c r="A20" s="28"/>
      <c r="B20" s="29"/>
      <c r="C20" s="30"/>
      <c r="D20" s="37"/>
      <c r="E20" s="41"/>
      <c r="F20" s="42"/>
      <c r="G20" s="42"/>
      <c r="H20" s="42"/>
      <c r="I20" s="42"/>
      <c r="J20" s="42"/>
      <c r="K20" s="34"/>
      <c r="L20" s="35"/>
      <c r="M20" s="36"/>
    </row>
    <row r="21" spans="1:13" ht="15.75" x14ac:dyDescent="0.25">
      <c r="A21" s="28"/>
      <c r="B21" s="29"/>
      <c r="C21" s="30"/>
      <c r="D21" s="37"/>
      <c r="E21" s="41"/>
      <c r="F21" s="42"/>
      <c r="G21" s="42"/>
      <c r="H21" s="42"/>
      <c r="I21" s="42"/>
      <c r="J21" s="42"/>
      <c r="K21" s="34"/>
      <c r="L21" s="35"/>
      <c r="M21" s="36"/>
    </row>
    <row r="22" spans="1:13" ht="15.75" x14ac:dyDescent="0.25">
      <c r="A22" s="43"/>
      <c r="B22" s="44"/>
      <c r="C22" s="45"/>
      <c r="D22" s="46" t="s">
        <v>27</v>
      </c>
      <c r="E22" s="47"/>
      <c r="F22" s="48">
        <f>SUM(F13:F21)</f>
        <v>767</v>
      </c>
      <c r="G22" s="48">
        <f>SUM(G13:G21)</f>
        <v>31.272999999999996</v>
      </c>
      <c r="H22" s="48">
        <f t="shared" ref="H22:J22" si="0">SUM(H13:H21)</f>
        <v>33.559999999999995</v>
      </c>
      <c r="I22" s="48">
        <f t="shared" si="0"/>
        <v>117.441</v>
      </c>
      <c r="J22" s="48">
        <f t="shared" si="0"/>
        <v>898.12599999999998</v>
      </c>
      <c r="K22" s="49"/>
      <c r="L22" s="50">
        <f>L13+L14+L15+L16+L17+L18+L19+L20</f>
        <v>0</v>
      </c>
      <c r="M22" s="36"/>
    </row>
    <row r="23" spans="1:13" ht="15.75" x14ac:dyDescent="0.25">
      <c r="A23" s="43">
        <f>A6</f>
        <v>1</v>
      </c>
      <c r="B23" s="44">
        <f>B6</f>
        <v>1</v>
      </c>
      <c r="C23" s="144" t="s">
        <v>38</v>
      </c>
      <c r="D23" s="145"/>
      <c r="E23" s="47"/>
      <c r="F23" s="48">
        <f>F12+F22</f>
        <v>1367</v>
      </c>
      <c r="G23" s="48">
        <f t="shared" ref="G23:J23" si="1">G12+G22</f>
        <v>49.593000000000004</v>
      </c>
      <c r="H23" s="48">
        <f t="shared" si="1"/>
        <v>50.870000000000005</v>
      </c>
      <c r="I23" s="48">
        <f t="shared" si="1"/>
        <v>212.71100000000001</v>
      </c>
      <c r="J23" s="48">
        <f t="shared" si="1"/>
        <v>1508.6759999999999</v>
      </c>
      <c r="K23" s="49"/>
      <c r="L23" s="50">
        <f>L12+L22</f>
        <v>0</v>
      </c>
      <c r="M23" s="36"/>
    </row>
    <row r="24" spans="1:13" s="36" customFormat="1" ht="15.75" x14ac:dyDescent="0.25">
      <c r="A24" s="52">
        <v>1</v>
      </c>
      <c r="B24" s="53">
        <v>2</v>
      </c>
      <c r="C24" s="30" t="s">
        <v>21</v>
      </c>
      <c r="D24" s="30" t="s">
        <v>31</v>
      </c>
      <c r="E24" s="55" t="s">
        <v>71</v>
      </c>
      <c r="F24" s="57">
        <v>95</v>
      </c>
      <c r="G24" s="38">
        <f>F24*12.6/90</f>
        <v>13.3</v>
      </c>
      <c r="H24" s="38">
        <f>F24*13.5/90</f>
        <v>14.25</v>
      </c>
      <c r="I24" s="38">
        <f>F24*7.83/90</f>
        <v>8.2650000000000006</v>
      </c>
      <c r="J24" s="38">
        <f>F24*203.22/90</f>
        <v>214.51000000000002</v>
      </c>
      <c r="K24" s="58" t="s">
        <v>48</v>
      </c>
      <c r="L24" s="59"/>
    </row>
    <row r="25" spans="1:13" ht="15.75" x14ac:dyDescent="0.25">
      <c r="A25" s="28"/>
      <c r="B25" s="29"/>
      <c r="C25" s="30"/>
      <c r="D25" s="30" t="s">
        <v>32</v>
      </c>
      <c r="E25" s="55" t="s">
        <v>49</v>
      </c>
      <c r="F25" s="60">
        <v>150</v>
      </c>
      <c r="G25" s="38">
        <f>F25*3.17/150</f>
        <v>3.17</v>
      </c>
      <c r="H25" s="38">
        <f>F25*3.6/150</f>
        <v>3.6</v>
      </c>
      <c r="I25" s="38">
        <f>F25*20.4/150</f>
        <v>20.399999999999999</v>
      </c>
      <c r="J25" s="38">
        <f>F25*128/150</f>
        <v>128</v>
      </c>
      <c r="K25" s="58">
        <v>44258</v>
      </c>
      <c r="L25" s="61"/>
      <c r="M25" s="36"/>
    </row>
    <row r="26" spans="1:13" ht="15.75" x14ac:dyDescent="0.25">
      <c r="A26" s="28"/>
      <c r="B26" s="29"/>
      <c r="C26" s="30"/>
      <c r="D26" s="30" t="s">
        <v>23</v>
      </c>
      <c r="E26" s="39" t="s">
        <v>24</v>
      </c>
      <c r="F26" s="39">
        <v>200</v>
      </c>
      <c r="G26" s="39">
        <v>3.1</v>
      </c>
      <c r="H26" s="39">
        <v>3.2</v>
      </c>
      <c r="I26" s="39">
        <v>14.4</v>
      </c>
      <c r="J26" s="39">
        <v>99</v>
      </c>
      <c r="K26" s="34" t="s">
        <v>132</v>
      </c>
      <c r="L26" s="61"/>
      <c r="M26" s="36"/>
    </row>
    <row r="27" spans="1:13" ht="31.5" x14ac:dyDescent="0.25">
      <c r="A27" s="28"/>
      <c r="B27" s="29"/>
      <c r="C27" s="30"/>
      <c r="D27" s="30" t="s">
        <v>35</v>
      </c>
      <c r="E27" s="40" t="s">
        <v>36</v>
      </c>
      <c r="F27" s="62">
        <v>45</v>
      </c>
      <c r="G27" s="38">
        <f>SUM(F27*2.37/30)</f>
        <v>3.5550000000000002</v>
      </c>
      <c r="H27" s="38">
        <f>SUM(F27*0.3/30)</f>
        <v>0.45</v>
      </c>
      <c r="I27" s="38">
        <f>SUM(F27*14.49/30)</f>
        <v>21.734999999999999</v>
      </c>
      <c r="J27" s="38">
        <f>SUM(F27*70.14/30)</f>
        <v>105.21000000000001</v>
      </c>
      <c r="K27" s="34" t="s">
        <v>25</v>
      </c>
      <c r="L27" s="63"/>
      <c r="M27" s="36"/>
    </row>
    <row r="28" spans="1:13" ht="31.5" x14ac:dyDescent="0.25">
      <c r="A28" s="28"/>
      <c r="B28" s="29"/>
      <c r="C28" s="30"/>
      <c r="D28" s="30" t="s">
        <v>37</v>
      </c>
      <c r="E28" s="31" t="s">
        <v>141</v>
      </c>
      <c r="F28" s="62">
        <v>30</v>
      </c>
      <c r="G28" s="38">
        <f>SUM(F28*1.68/30)</f>
        <v>1.68</v>
      </c>
      <c r="H28" s="38">
        <f>SUM(F28*0.33/30)</f>
        <v>0.33</v>
      </c>
      <c r="I28" s="38">
        <f>SUM(F28*14.82/30)</f>
        <v>14.82</v>
      </c>
      <c r="J28" s="38">
        <f>SUM(F28*68.97/30)</f>
        <v>68.97</v>
      </c>
      <c r="K28" s="34" t="s">
        <v>25</v>
      </c>
      <c r="L28" s="63"/>
      <c r="M28" s="36"/>
    </row>
    <row r="29" spans="1:13" ht="15.75" x14ac:dyDescent="0.25">
      <c r="A29" s="28"/>
      <c r="B29" s="29"/>
      <c r="C29" s="30"/>
      <c r="D29" s="37"/>
      <c r="E29" s="41"/>
      <c r="F29" s="64"/>
      <c r="G29" s="64"/>
      <c r="H29" s="64"/>
      <c r="I29" s="64"/>
      <c r="J29" s="64"/>
      <c r="K29" s="34"/>
      <c r="L29" s="35"/>
      <c r="M29" s="36"/>
    </row>
    <row r="30" spans="1:13" ht="15.75" x14ac:dyDescent="0.25">
      <c r="A30" s="43"/>
      <c r="B30" s="44"/>
      <c r="C30" s="45"/>
      <c r="D30" s="46" t="s">
        <v>27</v>
      </c>
      <c r="E30" s="47"/>
      <c r="F30" s="65">
        <f>SUM(F24:F29)</f>
        <v>520</v>
      </c>
      <c r="G30" s="65">
        <f>SUM(G24:G29)</f>
        <v>24.805</v>
      </c>
      <c r="H30" s="65">
        <f>SUM(H24:H29)</f>
        <v>21.83</v>
      </c>
      <c r="I30" s="65">
        <f>SUM(I24:I29)</f>
        <v>79.62</v>
      </c>
      <c r="J30" s="65">
        <f>SUM(J24:J29)</f>
        <v>615.69000000000005</v>
      </c>
      <c r="K30" s="66"/>
      <c r="L30" s="50">
        <f>SUM(L24:L29)</f>
        <v>0</v>
      </c>
      <c r="M30" s="36"/>
    </row>
    <row r="31" spans="1:13" ht="47.25" x14ac:dyDescent="0.25">
      <c r="A31" s="28">
        <v>1</v>
      </c>
      <c r="B31" s="29">
        <v>2</v>
      </c>
      <c r="C31" s="30" t="s">
        <v>28</v>
      </c>
      <c r="D31" s="30" t="s">
        <v>29</v>
      </c>
      <c r="E31" s="67" t="s">
        <v>148</v>
      </c>
      <c r="F31" s="39">
        <v>60</v>
      </c>
      <c r="G31" s="68">
        <f>F31*1.28/100</f>
        <v>0.76800000000000002</v>
      </c>
      <c r="H31" s="68">
        <f>F31*5.97/100</f>
        <v>3.5819999999999999</v>
      </c>
      <c r="I31" s="68">
        <f>F31*10/100</f>
        <v>6</v>
      </c>
      <c r="J31" s="68">
        <f>F31*98.85/100</f>
        <v>59.31</v>
      </c>
      <c r="K31" s="34" t="s">
        <v>149</v>
      </c>
      <c r="L31" s="35"/>
      <c r="M31" s="36"/>
    </row>
    <row r="32" spans="1:13" ht="31.5" x14ac:dyDescent="0.25">
      <c r="A32" s="28"/>
      <c r="B32" s="29"/>
      <c r="C32" s="30"/>
      <c r="D32" s="30" t="s">
        <v>30</v>
      </c>
      <c r="E32" s="55" t="s">
        <v>123</v>
      </c>
      <c r="F32" s="62">
        <v>200</v>
      </c>
      <c r="G32" s="38">
        <f>F32*3.5/200</f>
        <v>3.5</v>
      </c>
      <c r="H32" s="38">
        <f>F32*7.22/200</f>
        <v>7.22</v>
      </c>
      <c r="I32" s="38">
        <f>F32*9.4/200</f>
        <v>9.4</v>
      </c>
      <c r="J32" s="38">
        <f>F32*116.8/200</f>
        <v>116.8</v>
      </c>
      <c r="K32" s="34" t="s">
        <v>129</v>
      </c>
      <c r="L32" s="35"/>
      <c r="M32" s="36"/>
    </row>
    <row r="33" spans="1:14" ht="15.75" x14ac:dyDescent="0.25">
      <c r="A33" s="28"/>
      <c r="B33" s="29"/>
      <c r="C33" s="30"/>
      <c r="D33" s="30" t="s">
        <v>31</v>
      </c>
      <c r="E33" s="31" t="s">
        <v>77</v>
      </c>
      <c r="F33" s="38">
        <v>95</v>
      </c>
      <c r="G33" s="38">
        <f>F33*11.61/90</f>
        <v>12.255000000000001</v>
      </c>
      <c r="H33" s="38">
        <f>F33*12.06/90</f>
        <v>12.73</v>
      </c>
      <c r="I33" s="38">
        <f>F33*13.14/90</f>
        <v>13.87</v>
      </c>
      <c r="J33" s="38">
        <f>F33*207.54/90</f>
        <v>219.07</v>
      </c>
      <c r="K33" s="34" t="s">
        <v>112</v>
      </c>
      <c r="L33" s="35"/>
      <c r="M33" s="36"/>
    </row>
    <row r="34" spans="1:14" ht="15.75" x14ac:dyDescent="0.25">
      <c r="A34" s="28"/>
      <c r="B34" s="29"/>
      <c r="C34" s="30"/>
      <c r="D34" s="30" t="s">
        <v>32</v>
      </c>
      <c r="E34" s="55" t="s">
        <v>105</v>
      </c>
      <c r="F34" s="38">
        <v>150</v>
      </c>
      <c r="G34" s="38">
        <f>F34*3.25/150</f>
        <v>3.25</v>
      </c>
      <c r="H34" s="38">
        <f>F34*2.8/150</f>
        <v>2.8</v>
      </c>
      <c r="I34" s="38">
        <f>F34*11.9/150</f>
        <v>11.9</v>
      </c>
      <c r="J34" s="38">
        <f>F34*87/150</f>
        <v>87</v>
      </c>
      <c r="K34" s="58">
        <v>44533</v>
      </c>
      <c r="L34" s="35"/>
      <c r="M34" s="36"/>
    </row>
    <row r="35" spans="1:14" ht="15.75" x14ac:dyDescent="0.25">
      <c r="A35" s="28"/>
      <c r="B35" s="29"/>
      <c r="C35" s="30"/>
      <c r="D35" s="30" t="s">
        <v>76</v>
      </c>
      <c r="E35" s="55" t="s">
        <v>118</v>
      </c>
      <c r="F35" s="62">
        <v>200</v>
      </c>
      <c r="G35" s="38">
        <f>F35*H35/200</f>
        <v>0</v>
      </c>
      <c r="H35" s="38">
        <f>F35*0/200</f>
        <v>0</v>
      </c>
      <c r="I35" s="38">
        <f>F35*27.8/200</f>
        <v>27.8</v>
      </c>
      <c r="J35" s="38">
        <f>F35*111/200</f>
        <v>111</v>
      </c>
      <c r="K35" s="34">
        <v>948</v>
      </c>
      <c r="L35" s="35"/>
      <c r="M35" s="36"/>
    </row>
    <row r="36" spans="1:14" ht="31.5" x14ac:dyDescent="0.25">
      <c r="A36" s="28"/>
      <c r="B36" s="29"/>
      <c r="C36" s="30"/>
      <c r="D36" s="30" t="s">
        <v>35</v>
      </c>
      <c r="E36" s="40" t="s">
        <v>36</v>
      </c>
      <c r="F36" s="62">
        <v>46</v>
      </c>
      <c r="G36" s="38">
        <f>SUM(F36*3.95/50)</f>
        <v>3.6340000000000003</v>
      </c>
      <c r="H36" s="38">
        <f>SUM(F36*0.5/50)</f>
        <v>0.46</v>
      </c>
      <c r="I36" s="38">
        <f>SUM(F36*24.15/50)</f>
        <v>22.217999999999996</v>
      </c>
      <c r="J36" s="38">
        <f>SUM(F36*116.9/50)</f>
        <v>107.54800000000002</v>
      </c>
      <c r="K36" s="34" t="s">
        <v>25</v>
      </c>
      <c r="L36" s="35"/>
      <c r="M36" s="36"/>
    </row>
    <row r="37" spans="1:14" ht="31.5" x14ac:dyDescent="0.25">
      <c r="A37" s="28"/>
      <c r="B37" s="29"/>
      <c r="C37" s="30"/>
      <c r="D37" s="30" t="s">
        <v>37</v>
      </c>
      <c r="E37" s="40" t="s">
        <v>141</v>
      </c>
      <c r="F37" s="62">
        <v>40</v>
      </c>
      <c r="G37" s="38">
        <f>SUM(F37*1.68/30)</f>
        <v>2.2400000000000002</v>
      </c>
      <c r="H37" s="38">
        <f>SUM(F37*0.33/30)</f>
        <v>0.44000000000000006</v>
      </c>
      <c r="I37" s="38">
        <f>SUM(F37*14.82/30)</f>
        <v>19.759999999999998</v>
      </c>
      <c r="J37" s="38">
        <f>SUM(F37*68.97/30)</f>
        <v>91.960000000000008</v>
      </c>
      <c r="K37" s="34" t="s">
        <v>25</v>
      </c>
      <c r="L37" s="35"/>
      <c r="M37" s="36"/>
    </row>
    <row r="38" spans="1:14" ht="15.75" x14ac:dyDescent="0.25">
      <c r="A38" s="28"/>
      <c r="B38" s="29"/>
      <c r="C38" s="30"/>
      <c r="D38" s="37"/>
      <c r="E38" s="41"/>
      <c r="F38" s="69"/>
      <c r="G38" s="69"/>
      <c r="H38" s="69"/>
      <c r="I38" s="69"/>
      <c r="J38" s="69"/>
      <c r="K38" s="34"/>
      <c r="L38" s="35"/>
      <c r="M38" s="36"/>
    </row>
    <row r="39" spans="1:14" ht="15.75" x14ac:dyDescent="0.25">
      <c r="A39" s="28"/>
      <c r="B39" s="29"/>
      <c r="C39" s="30"/>
      <c r="D39" s="37"/>
      <c r="E39" s="41"/>
      <c r="F39" s="69"/>
      <c r="G39" s="69"/>
      <c r="H39" s="69"/>
      <c r="I39" s="69"/>
      <c r="J39" s="69"/>
      <c r="K39" s="34"/>
      <c r="L39" s="35"/>
      <c r="M39" s="36"/>
    </row>
    <row r="40" spans="1:14" ht="15.75" x14ac:dyDescent="0.25">
      <c r="A40" s="43"/>
      <c r="B40" s="44"/>
      <c r="C40" s="45"/>
      <c r="D40" s="46" t="s">
        <v>27</v>
      </c>
      <c r="E40" s="47"/>
      <c r="F40" s="48">
        <f>SUM(F31:F39)</f>
        <v>791</v>
      </c>
      <c r="G40" s="48">
        <f>SUM(G31:G39)</f>
        <v>25.646999999999998</v>
      </c>
      <c r="H40" s="48">
        <f>SUM(H31:H39)</f>
        <v>27.232000000000003</v>
      </c>
      <c r="I40" s="48">
        <f>SUM(I31:I39)</f>
        <v>110.94799999999998</v>
      </c>
      <c r="J40" s="48">
        <f>SUM(J31:J39)</f>
        <v>792.6880000000001</v>
      </c>
      <c r="K40" s="49"/>
      <c r="L40" s="50">
        <f>SUM(L31:L39)</f>
        <v>0</v>
      </c>
      <c r="M40" s="36"/>
    </row>
    <row r="41" spans="1:14" ht="15.75" x14ac:dyDescent="0.25">
      <c r="A41" s="43">
        <f>A24</f>
        <v>1</v>
      </c>
      <c r="B41" s="44">
        <f>B24</f>
        <v>2</v>
      </c>
      <c r="C41" s="144" t="s">
        <v>38</v>
      </c>
      <c r="D41" s="145"/>
      <c r="E41" s="47"/>
      <c r="F41" s="48">
        <f>F30+F40</f>
        <v>1311</v>
      </c>
      <c r="G41" s="48">
        <f>G30+G40</f>
        <v>50.451999999999998</v>
      </c>
      <c r="H41" s="48">
        <f>H30+H40</f>
        <v>49.061999999999998</v>
      </c>
      <c r="I41" s="48">
        <f>I30+I40</f>
        <v>190.56799999999998</v>
      </c>
      <c r="J41" s="48">
        <f>J30+J40</f>
        <v>1408.3780000000002</v>
      </c>
      <c r="K41" s="49"/>
      <c r="L41" s="50">
        <f>L30+L40</f>
        <v>0</v>
      </c>
      <c r="M41" s="36"/>
      <c r="N41" s="36"/>
    </row>
    <row r="42" spans="1:14" ht="15.75" x14ac:dyDescent="0.25">
      <c r="A42" s="28">
        <v>1</v>
      </c>
      <c r="B42" s="29">
        <v>3</v>
      </c>
      <c r="C42" s="30" t="s">
        <v>21</v>
      </c>
      <c r="D42" s="30" t="s">
        <v>31</v>
      </c>
      <c r="E42" s="70" t="s">
        <v>58</v>
      </c>
      <c r="F42" s="39">
        <v>109</v>
      </c>
      <c r="G42" s="39">
        <f>F42*11.6/100</f>
        <v>12.643999999999998</v>
      </c>
      <c r="H42" s="39">
        <f>F42*12.1/100</f>
        <v>13.188999999999998</v>
      </c>
      <c r="I42" s="39">
        <f>11.2*F42/100</f>
        <v>12.208</v>
      </c>
      <c r="J42" s="39">
        <f>200*F42/100</f>
        <v>218</v>
      </c>
      <c r="K42" s="58" t="s">
        <v>134</v>
      </c>
      <c r="L42" s="35"/>
      <c r="M42" s="36"/>
      <c r="N42" s="36"/>
    </row>
    <row r="43" spans="1:14" ht="15.75" x14ac:dyDescent="0.25">
      <c r="A43" s="28"/>
      <c r="B43" s="29"/>
      <c r="C43" s="30"/>
      <c r="D43" s="37" t="s">
        <v>32</v>
      </c>
      <c r="E43" s="40" t="s">
        <v>33</v>
      </c>
      <c r="F43" s="32">
        <v>150</v>
      </c>
      <c r="G43" s="38">
        <f>F43*5.33/150</f>
        <v>5.33</v>
      </c>
      <c r="H43" s="38">
        <f>F43*3/150</f>
        <v>3</v>
      </c>
      <c r="I43" s="38">
        <f>F43*32.4/150</f>
        <v>32.4</v>
      </c>
      <c r="J43" s="38">
        <f>177.75*F43/150</f>
        <v>177.75</v>
      </c>
      <c r="K43" s="34">
        <v>46.3</v>
      </c>
      <c r="L43" s="35"/>
      <c r="M43" s="36"/>
      <c r="N43" s="36"/>
    </row>
    <row r="44" spans="1:14" ht="15.75" x14ac:dyDescent="0.25">
      <c r="A44" s="28"/>
      <c r="B44" s="29"/>
      <c r="C44" s="30"/>
      <c r="D44" s="30" t="s">
        <v>23</v>
      </c>
      <c r="E44" s="40" t="s">
        <v>81</v>
      </c>
      <c r="F44" s="38">
        <v>200</v>
      </c>
      <c r="G44" s="38">
        <v>3.6</v>
      </c>
      <c r="H44" s="38">
        <v>3.3</v>
      </c>
      <c r="I44" s="38">
        <v>22.8</v>
      </c>
      <c r="J44" s="38">
        <v>135</v>
      </c>
      <c r="K44" s="58" t="s">
        <v>50</v>
      </c>
      <c r="L44" s="35"/>
      <c r="M44" s="36"/>
      <c r="N44" s="36"/>
    </row>
    <row r="45" spans="1:14" ht="31.5" x14ac:dyDescent="0.25">
      <c r="A45" s="28"/>
      <c r="B45" s="29"/>
      <c r="C45" s="30"/>
      <c r="D45" s="71" t="s">
        <v>35</v>
      </c>
      <c r="E45" s="40" t="s">
        <v>36</v>
      </c>
      <c r="F45" s="38">
        <v>34</v>
      </c>
      <c r="G45" s="38">
        <f>SUM(F45*2.37/30)</f>
        <v>2.6859999999999999</v>
      </c>
      <c r="H45" s="38">
        <f>SUM(F45*0.3/30)</f>
        <v>0.33999999999999997</v>
      </c>
      <c r="I45" s="38">
        <f>SUM(F45*14.49/30)</f>
        <v>16.422000000000001</v>
      </c>
      <c r="J45" s="38">
        <f>SUM(F45*70.14/30)</f>
        <v>79.492000000000004</v>
      </c>
      <c r="K45" s="72" t="s">
        <v>25</v>
      </c>
      <c r="L45" s="35"/>
      <c r="M45" s="36"/>
      <c r="N45" s="36"/>
    </row>
    <row r="46" spans="1:14" ht="31.5" x14ac:dyDescent="0.25">
      <c r="A46" s="28"/>
      <c r="B46" s="29"/>
      <c r="C46" s="30"/>
      <c r="D46" s="71" t="s">
        <v>37</v>
      </c>
      <c r="E46" s="40" t="s">
        <v>141</v>
      </c>
      <c r="F46" s="38">
        <v>30</v>
      </c>
      <c r="G46" s="38">
        <f>SUM(F46*1.68/30)</f>
        <v>1.68</v>
      </c>
      <c r="H46" s="38">
        <f>SUM(F46*0.33/30)</f>
        <v>0.33</v>
      </c>
      <c r="I46" s="38">
        <f>SUM(F46*14.82/30)</f>
        <v>14.82</v>
      </c>
      <c r="J46" s="38">
        <f>SUM(F46*68.97/30)</f>
        <v>68.97</v>
      </c>
      <c r="K46" s="72" t="s">
        <v>25</v>
      </c>
      <c r="L46" s="35"/>
      <c r="M46" s="36"/>
      <c r="N46" s="36"/>
    </row>
    <row r="47" spans="1:14" ht="15.75" x14ac:dyDescent="0.25">
      <c r="A47" s="28"/>
      <c r="B47" s="29"/>
      <c r="C47" s="30"/>
      <c r="D47" s="73"/>
      <c r="E47" s="74"/>
      <c r="F47" s="68"/>
      <c r="G47" s="68"/>
      <c r="H47" s="68"/>
      <c r="I47" s="68"/>
      <c r="J47" s="68"/>
      <c r="K47" s="75"/>
      <c r="L47" s="76"/>
      <c r="M47" s="36"/>
    </row>
    <row r="48" spans="1:14" ht="15.75" x14ac:dyDescent="0.25">
      <c r="A48" s="43"/>
      <c r="B48" s="44"/>
      <c r="C48" s="45"/>
      <c r="D48" s="46" t="s">
        <v>27</v>
      </c>
      <c r="E48" s="77"/>
      <c r="F48" s="78">
        <f>SUM(F42:F47)</f>
        <v>523</v>
      </c>
      <c r="G48" s="78">
        <f>SUM(G42:G47)</f>
        <v>25.939999999999998</v>
      </c>
      <c r="H48" s="78">
        <f>SUM(H42:H47)</f>
        <v>20.158999999999999</v>
      </c>
      <c r="I48" s="78">
        <f>SUM(I42:I47)</f>
        <v>98.65</v>
      </c>
      <c r="J48" s="78">
        <f>SUM(J42:J47)</f>
        <v>679.21199999999999</v>
      </c>
      <c r="K48" s="49"/>
      <c r="L48" s="50">
        <f>SUM(L42:L47)</f>
        <v>0</v>
      </c>
      <c r="M48" s="36"/>
    </row>
    <row r="49" spans="1:13" ht="47.25" x14ac:dyDescent="0.25">
      <c r="A49" s="28">
        <v>1</v>
      </c>
      <c r="B49" s="29">
        <v>3</v>
      </c>
      <c r="C49" s="30" t="s">
        <v>28</v>
      </c>
      <c r="D49" s="71" t="s">
        <v>29</v>
      </c>
      <c r="E49" s="79" t="s">
        <v>125</v>
      </c>
      <c r="F49" s="33">
        <v>70</v>
      </c>
      <c r="G49" s="33">
        <f>F49*3.24/60</f>
        <v>3.7800000000000002</v>
      </c>
      <c r="H49" s="33">
        <f>F49*7.74/60</f>
        <v>9.0300000000000011</v>
      </c>
      <c r="I49" s="33">
        <f>F49*25.26/60</f>
        <v>29.470000000000002</v>
      </c>
      <c r="J49" s="33">
        <f>F49*183.84/60</f>
        <v>214.48000000000002</v>
      </c>
      <c r="K49" s="72" t="s">
        <v>82</v>
      </c>
      <c r="L49" s="35"/>
      <c r="M49" s="36"/>
    </row>
    <row r="50" spans="1:13" ht="31.5" x14ac:dyDescent="0.25">
      <c r="A50" s="28"/>
      <c r="B50" s="29"/>
      <c r="C50" s="30"/>
      <c r="D50" s="71" t="s">
        <v>30</v>
      </c>
      <c r="E50" s="80" t="s">
        <v>142</v>
      </c>
      <c r="F50" s="38">
        <v>200</v>
      </c>
      <c r="G50" s="38">
        <f>F50*7.76/200+0.3</f>
        <v>8.06</v>
      </c>
      <c r="H50" s="38">
        <f>F50*3.84/200</f>
        <v>3.84</v>
      </c>
      <c r="I50" s="38">
        <f>F50*10.48/200</f>
        <v>10.48</v>
      </c>
      <c r="J50" s="38">
        <f>F50*106.4/200</f>
        <v>106.4</v>
      </c>
      <c r="K50" s="81" t="s">
        <v>110</v>
      </c>
      <c r="L50" s="35"/>
      <c r="M50" s="36"/>
    </row>
    <row r="51" spans="1:13" ht="15.75" x14ac:dyDescent="0.25">
      <c r="A51" s="28"/>
      <c r="B51" s="29"/>
      <c r="C51" s="30"/>
      <c r="D51" s="71" t="s">
        <v>31</v>
      </c>
      <c r="E51" s="82" t="s">
        <v>117</v>
      </c>
      <c r="F51" s="83">
        <v>100</v>
      </c>
      <c r="G51" s="68">
        <f>F51*13/100</f>
        <v>13</v>
      </c>
      <c r="H51" s="68">
        <f>F51*12.9/100</f>
        <v>12.9</v>
      </c>
      <c r="I51" s="68">
        <f>F51*6.4/100</f>
        <v>6.4</v>
      </c>
      <c r="J51" s="68">
        <f>F51*194/100</f>
        <v>194</v>
      </c>
      <c r="K51" s="72" t="s">
        <v>133</v>
      </c>
      <c r="L51" s="35"/>
      <c r="M51" s="36"/>
    </row>
    <row r="52" spans="1:13" ht="15.75" x14ac:dyDescent="0.25">
      <c r="A52" s="28"/>
      <c r="B52" s="29"/>
      <c r="C52" s="30"/>
      <c r="D52" s="71" t="s">
        <v>32</v>
      </c>
      <c r="E52" s="84" t="s">
        <v>44</v>
      </c>
      <c r="F52" s="68">
        <v>170</v>
      </c>
      <c r="G52" s="68">
        <f>F52*8.84/200</f>
        <v>7.5139999999999993</v>
      </c>
      <c r="H52" s="68">
        <f>F52*5.92/200</f>
        <v>5.032</v>
      </c>
      <c r="I52" s="68">
        <f>F52*38.4/200</f>
        <v>32.64</v>
      </c>
      <c r="J52" s="68">
        <f>F52*242/200</f>
        <v>205.7</v>
      </c>
      <c r="K52" s="81" t="s">
        <v>130</v>
      </c>
      <c r="L52" s="35"/>
      <c r="M52" s="36"/>
    </row>
    <row r="53" spans="1:13" ht="15.75" x14ac:dyDescent="0.25">
      <c r="A53" s="28"/>
      <c r="B53" s="29"/>
      <c r="C53" s="30"/>
      <c r="D53" s="71" t="s">
        <v>76</v>
      </c>
      <c r="E53" s="55" t="s">
        <v>41</v>
      </c>
      <c r="F53" s="33">
        <v>200</v>
      </c>
      <c r="G53" s="33">
        <v>0</v>
      </c>
      <c r="H53" s="33">
        <v>0</v>
      </c>
      <c r="I53" s="33">
        <v>12</v>
      </c>
      <c r="J53" s="33">
        <v>48</v>
      </c>
      <c r="K53" s="72" t="s">
        <v>127</v>
      </c>
      <c r="L53" s="35"/>
      <c r="M53" s="36"/>
    </row>
    <row r="54" spans="1:13" ht="31.5" x14ac:dyDescent="0.25">
      <c r="A54" s="28"/>
      <c r="B54" s="29"/>
      <c r="C54" s="30"/>
      <c r="D54" s="30" t="s">
        <v>35</v>
      </c>
      <c r="E54" s="40" t="s">
        <v>36</v>
      </c>
      <c r="F54" s="38">
        <v>50</v>
      </c>
      <c r="G54" s="38">
        <f>SUM(F54*3.16/40)</f>
        <v>3.95</v>
      </c>
      <c r="H54" s="38">
        <f>SUM(F54*0.4/40)</f>
        <v>0.5</v>
      </c>
      <c r="I54" s="38">
        <f>SUM(F54*19.32/40)</f>
        <v>24.15</v>
      </c>
      <c r="J54" s="38">
        <f>SUM(F54*93.52/40)</f>
        <v>116.9</v>
      </c>
      <c r="K54" s="34" t="s">
        <v>25</v>
      </c>
      <c r="L54" s="35"/>
      <c r="M54" s="36"/>
    </row>
    <row r="55" spans="1:13" ht="31.5" x14ac:dyDescent="0.25">
      <c r="A55" s="28"/>
      <c r="B55" s="29"/>
      <c r="C55" s="30"/>
      <c r="D55" s="30" t="s">
        <v>37</v>
      </c>
      <c r="E55" s="31" t="s">
        <v>141</v>
      </c>
      <c r="F55" s="38">
        <v>49</v>
      </c>
      <c r="G55" s="38">
        <f>SUM(F55*1.68/30)</f>
        <v>2.7439999999999998</v>
      </c>
      <c r="H55" s="38">
        <f>SUM(F55*0.33/30)</f>
        <v>0.53900000000000003</v>
      </c>
      <c r="I55" s="38">
        <f>SUM(F55*14.82/30)</f>
        <v>24.206000000000003</v>
      </c>
      <c r="J55" s="38">
        <f>SUM(F55*68.97/30)</f>
        <v>112.651</v>
      </c>
      <c r="K55" s="34" t="s">
        <v>25</v>
      </c>
      <c r="L55" s="35"/>
      <c r="M55" s="36"/>
    </row>
    <row r="56" spans="1:13" ht="15.75" x14ac:dyDescent="0.25">
      <c r="A56" s="28"/>
      <c r="B56" s="29"/>
      <c r="C56" s="30"/>
      <c r="D56" s="37"/>
      <c r="E56" s="41"/>
      <c r="F56" s="69"/>
      <c r="G56" s="69"/>
      <c r="H56" s="69"/>
      <c r="I56" s="69"/>
      <c r="J56" s="69"/>
      <c r="K56" s="34"/>
      <c r="L56" s="35"/>
      <c r="M56" s="36"/>
    </row>
    <row r="57" spans="1:13" ht="15.75" x14ac:dyDescent="0.25">
      <c r="A57" s="28"/>
      <c r="B57" s="29"/>
      <c r="C57" s="30"/>
      <c r="D57" s="37"/>
      <c r="E57" s="41"/>
      <c r="F57" s="64"/>
      <c r="G57" s="64"/>
      <c r="H57" s="64"/>
      <c r="I57" s="64"/>
      <c r="J57" s="64"/>
      <c r="K57" s="34"/>
      <c r="L57" s="35"/>
      <c r="M57" s="36"/>
    </row>
    <row r="58" spans="1:13" ht="15.75" x14ac:dyDescent="0.25">
      <c r="A58" s="43"/>
      <c r="B58" s="44"/>
      <c r="C58" s="45"/>
      <c r="D58" s="46" t="s">
        <v>27</v>
      </c>
      <c r="E58" s="47"/>
      <c r="F58" s="48">
        <f>SUM(F49:F57)</f>
        <v>839</v>
      </c>
      <c r="G58" s="48">
        <f>SUM(G49:G57)</f>
        <v>39.048000000000002</v>
      </c>
      <c r="H58" s="48">
        <f>SUM(H49:H57)</f>
        <v>31.841000000000005</v>
      </c>
      <c r="I58" s="48">
        <f>SUM(I49:I57)</f>
        <v>139.346</v>
      </c>
      <c r="J58" s="48">
        <f t="shared" ref="J58" si="2">SUM(J49:J57)</f>
        <v>998.13099999999986</v>
      </c>
      <c r="K58" s="49"/>
      <c r="L58" s="50">
        <f>SUM(L49:L57)</f>
        <v>0</v>
      </c>
      <c r="M58" s="36"/>
    </row>
    <row r="59" spans="1:13" ht="15.75" x14ac:dyDescent="0.25">
      <c r="A59" s="43">
        <f>A42</f>
        <v>1</v>
      </c>
      <c r="B59" s="44">
        <f>B42</f>
        <v>3</v>
      </c>
      <c r="C59" s="144" t="s">
        <v>38</v>
      </c>
      <c r="D59" s="145"/>
      <c r="E59" s="47"/>
      <c r="F59" s="48">
        <f>F48+F58</f>
        <v>1362</v>
      </c>
      <c r="G59" s="48">
        <f>G48+G58</f>
        <v>64.988</v>
      </c>
      <c r="H59" s="48">
        <f>H48+H58</f>
        <v>52</v>
      </c>
      <c r="I59" s="48">
        <f>I48+I58</f>
        <v>237.99600000000001</v>
      </c>
      <c r="J59" s="48">
        <f t="shared" ref="J59:L59" si="3">J48+J58</f>
        <v>1677.3429999999998</v>
      </c>
      <c r="K59" s="49"/>
      <c r="L59" s="50">
        <f t="shared" si="3"/>
        <v>0</v>
      </c>
      <c r="M59" s="36"/>
    </row>
    <row r="60" spans="1:13" ht="30" x14ac:dyDescent="0.25">
      <c r="A60" s="28">
        <v>1</v>
      </c>
      <c r="B60" s="29">
        <v>4</v>
      </c>
      <c r="C60" s="30" t="s">
        <v>21</v>
      </c>
      <c r="D60" s="71" t="s">
        <v>22</v>
      </c>
      <c r="E60" s="85" t="s">
        <v>85</v>
      </c>
      <c r="F60" s="39">
        <v>230</v>
      </c>
      <c r="G60" s="39">
        <f>F60*19.5/200</f>
        <v>22.425000000000001</v>
      </c>
      <c r="H60" s="39">
        <f>F60*21.2/200</f>
        <v>24.38</v>
      </c>
      <c r="I60" s="39">
        <f>F60*17.7/200</f>
        <v>20.355</v>
      </c>
      <c r="J60" s="39">
        <f>F60*339.6/200</f>
        <v>390.54</v>
      </c>
      <c r="K60" s="34" t="s">
        <v>135</v>
      </c>
      <c r="L60" s="35"/>
      <c r="M60" s="36"/>
    </row>
    <row r="61" spans="1:13" ht="15.75" x14ac:dyDescent="0.25">
      <c r="A61" s="28"/>
      <c r="B61" s="29"/>
      <c r="C61" s="30"/>
      <c r="D61" s="71" t="s">
        <v>23</v>
      </c>
      <c r="E61" s="82" t="s">
        <v>150</v>
      </c>
      <c r="F61" s="68">
        <v>200</v>
      </c>
      <c r="G61" s="68">
        <f>F61*0.2/200</f>
        <v>0.2</v>
      </c>
      <c r="H61" s="68">
        <f>F61*0.1/200</f>
        <v>0.1</v>
      </c>
      <c r="I61" s="68">
        <f>F61*13.1/200</f>
        <v>13.1</v>
      </c>
      <c r="J61" s="68">
        <f>F61*54/200</f>
        <v>54</v>
      </c>
      <c r="K61" s="34" t="s">
        <v>127</v>
      </c>
      <c r="L61" s="35"/>
      <c r="M61" s="36"/>
    </row>
    <row r="62" spans="1:13" ht="15.75" x14ac:dyDescent="0.25">
      <c r="A62" s="28"/>
      <c r="B62" s="29"/>
      <c r="C62" s="30"/>
      <c r="D62" s="71" t="s">
        <v>35</v>
      </c>
      <c r="E62" s="86" t="s">
        <v>26</v>
      </c>
      <c r="F62" s="39">
        <v>50</v>
      </c>
      <c r="G62" s="39">
        <f>SUM(F62*6.1/50)</f>
        <v>6.1</v>
      </c>
      <c r="H62" s="39">
        <f>SUM(F62*3.7/50)</f>
        <v>3.7</v>
      </c>
      <c r="I62" s="39">
        <f>SUM(F62*17.5/50)</f>
        <v>17.5</v>
      </c>
      <c r="J62" s="39">
        <f>SUM(F62*127.7/50)</f>
        <v>127.7</v>
      </c>
      <c r="K62" s="87" t="s">
        <v>80</v>
      </c>
      <c r="L62" s="35"/>
      <c r="M62" s="36"/>
    </row>
    <row r="63" spans="1:13" ht="31.5" x14ac:dyDescent="0.25">
      <c r="A63" s="28"/>
      <c r="B63" s="29"/>
      <c r="C63" s="30"/>
      <c r="D63" s="71" t="s">
        <v>37</v>
      </c>
      <c r="E63" s="88" t="s">
        <v>141</v>
      </c>
      <c r="F63" s="38">
        <v>43</v>
      </c>
      <c r="G63" s="38">
        <f>SUM(F63*2.8/50)</f>
        <v>2.4079999999999999</v>
      </c>
      <c r="H63" s="38">
        <f>SUM(F63*0.55/50)</f>
        <v>0.47300000000000003</v>
      </c>
      <c r="I63" s="38">
        <f>SUM(F63*24.7/50)</f>
        <v>21.241999999999997</v>
      </c>
      <c r="J63" s="38">
        <f>SUM(F63*114.95/50)</f>
        <v>98.857000000000014</v>
      </c>
      <c r="K63" s="87" t="s">
        <v>25</v>
      </c>
      <c r="L63" s="35"/>
      <c r="M63" s="36"/>
    </row>
    <row r="64" spans="1:13" ht="15.75" x14ac:dyDescent="0.25">
      <c r="A64" s="28"/>
      <c r="B64" s="29"/>
      <c r="C64" s="30"/>
      <c r="D64" s="71"/>
      <c r="E64" s="84"/>
      <c r="F64" s="68"/>
      <c r="G64" s="68"/>
      <c r="H64" s="68"/>
      <c r="I64" s="68"/>
      <c r="J64" s="68"/>
      <c r="K64" s="89"/>
      <c r="L64" s="35"/>
      <c r="M64" s="36"/>
    </row>
    <row r="65" spans="1:13" ht="15.75" x14ac:dyDescent="0.25">
      <c r="A65" s="28"/>
      <c r="B65" s="29"/>
      <c r="C65" s="30"/>
      <c r="D65" s="73"/>
      <c r="E65" s="90"/>
      <c r="F65" s="91"/>
      <c r="G65" s="91"/>
      <c r="H65" s="91"/>
      <c r="I65" s="91"/>
      <c r="J65" s="91"/>
      <c r="K65" s="87"/>
      <c r="L65" s="35"/>
      <c r="M65" s="36"/>
    </row>
    <row r="66" spans="1:13" ht="15.75" x14ac:dyDescent="0.25">
      <c r="A66" s="28"/>
      <c r="B66" s="29"/>
      <c r="C66" s="30"/>
      <c r="D66" s="37"/>
      <c r="E66" s="41"/>
      <c r="F66" s="64"/>
      <c r="G66" s="64"/>
      <c r="H66" s="64"/>
      <c r="I66" s="64"/>
      <c r="J66" s="64"/>
      <c r="K66" s="34"/>
      <c r="L66" s="35"/>
      <c r="M66" s="36"/>
    </row>
    <row r="67" spans="1:13" ht="15.75" x14ac:dyDescent="0.25">
      <c r="A67" s="43"/>
      <c r="B67" s="44"/>
      <c r="C67" s="45"/>
      <c r="D67" s="46" t="s">
        <v>27</v>
      </c>
      <c r="E67" s="47"/>
      <c r="F67" s="48">
        <f>SUM(F60:F66)</f>
        <v>523</v>
      </c>
      <c r="G67" s="48">
        <f t="shared" ref="G67" si="4">SUM(G60:G66)</f>
        <v>31.133000000000003</v>
      </c>
      <c r="H67" s="48">
        <f t="shared" ref="H67" si="5">SUM(H60:H66)</f>
        <v>28.652999999999999</v>
      </c>
      <c r="I67" s="48">
        <f t="shared" ref="I67" si="6">SUM(I60:I66)</f>
        <v>72.197000000000003</v>
      </c>
      <c r="J67" s="48">
        <f t="shared" ref="J67" si="7">SUM(J60:J66)</f>
        <v>671.09699999999998</v>
      </c>
      <c r="K67" s="49"/>
      <c r="L67" s="50">
        <f>SUM(L60:L66)</f>
        <v>0</v>
      </c>
      <c r="M67" s="36"/>
    </row>
    <row r="68" spans="1:13" ht="47.25" x14ac:dyDescent="0.25">
      <c r="A68" s="28">
        <f>A60</f>
        <v>1</v>
      </c>
      <c r="B68" s="29">
        <f>B60</f>
        <v>4</v>
      </c>
      <c r="C68" s="30" t="s">
        <v>28</v>
      </c>
      <c r="D68" s="30" t="s">
        <v>29</v>
      </c>
      <c r="E68" s="31" t="s">
        <v>120</v>
      </c>
      <c r="F68" s="33">
        <v>60</v>
      </c>
      <c r="G68" s="33">
        <f>F68*2.7/100</f>
        <v>1.62</v>
      </c>
      <c r="H68" s="33">
        <f>F68*6/100</f>
        <v>3.6</v>
      </c>
      <c r="I68" s="33">
        <f>11.9*F68/100</f>
        <v>7.14</v>
      </c>
      <c r="J68" s="33">
        <f>F68*109.6/100</f>
        <v>65.760000000000005</v>
      </c>
      <c r="K68" s="72" t="s">
        <v>106</v>
      </c>
      <c r="L68" s="35"/>
      <c r="M68" s="36"/>
    </row>
    <row r="69" spans="1:13" ht="31.5" x14ac:dyDescent="0.25">
      <c r="A69" s="28"/>
      <c r="B69" s="29"/>
      <c r="C69" s="30"/>
      <c r="D69" s="30" t="s">
        <v>30</v>
      </c>
      <c r="E69" s="74" t="s">
        <v>43</v>
      </c>
      <c r="F69" s="68">
        <v>200</v>
      </c>
      <c r="G69" s="68">
        <f>F69*5.4/250+0.3</f>
        <v>4.62</v>
      </c>
      <c r="H69" s="68">
        <f>F69*9.8/250</f>
        <v>7.8400000000000007</v>
      </c>
      <c r="I69" s="68">
        <f>F69*10.6/250+0.6</f>
        <v>9.08</v>
      </c>
      <c r="J69" s="68">
        <f>F69*153/250+3.6</f>
        <v>126</v>
      </c>
      <c r="K69" s="81" t="s">
        <v>126</v>
      </c>
      <c r="L69" s="35"/>
      <c r="M69" s="36"/>
    </row>
    <row r="70" spans="1:13" ht="15.75" x14ac:dyDescent="0.25">
      <c r="A70" s="28"/>
      <c r="B70" s="29"/>
      <c r="C70" s="30"/>
      <c r="D70" s="30" t="s">
        <v>31</v>
      </c>
      <c r="E70" s="40" t="s">
        <v>40</v>
      </c>
      <c r="F70" s="38">
        <v>90</v>
      </c>
      <c r="G70" s="38">
        <f>F70*13.32/90</f>
        <v>13.32</v>
      </c>
      <c r="H70" s="38">
        <f>F70*11.16/90</f>
        <v>11.16</v>
      </c>
      <c r="I70" s="38">
        <f>F70*8.19/90</f>
        <v>8.19</v>
      </c>
      <c r="J70" s="38">
        <f>F70*186.3/90</f>
        <v>186.3</v>
      </c>
      <c r="K70" s="72" t="s">
        <v>155</v>
      </c>
      <c r="L70" s="35"/>
      <c r="M70" s="36"/>
    </row>
    <row r="71" spans="1:13" ht="15.75" x14ac:dyDescent="0.25">
      <c r="A71" s="28"/>
      <c r="B71" s="29"/>
      <c r="C71" s="30"/>
      <c r="D71" s="30" t="s">
        <v>32</v>
      </c>
      <c r="E71" s="92" t="s">
        <v>49</v>
      </c>
      <c r="F71" s="39">
        <v>150</v>
      </c>
      <c r="G71" s="39">
        <f>F71*3.17/150</f>
        <v>3.17</v>
      </c>
      <c r="H71" s="39">
        <f>F71*3.6/150</f>
        <v>3.6</v>
      </c>
      <c r="I71" s="39">
        <f>F71*20.4/150</f>
        <v>20.399999999999999</v>
      </c>
      <c r="J71" s="39">
        <f>F71*128/150</f>
        <v>128</v>
      </c>
      <c r="K71" s="81" t="s">
        <v>96</v>
      </c>
      <c r="L71" s="35"/>
      <c r="M71" s="36"/>
    </row>
    <row r="72" spans="1:13" ht="15.75" x14ac:dyDescent="0.25">
      <c r="A72" s="28"/>
      <c r="B72" s="29"/>
      <c r="C72" s="30"/>
      <c r="D72" s="30" t="s">
        <v>76</v>
      </c>
      <c r="E72" s="40" t="s">
        <v>47</v>
      </c>
      <c r="F72" s="38">
        <v>200</v>
      </c>
      <c r="G72" s="38">
        <v>0.2</v>
      </c>
      <c r="H72" s="38">
        <v>0.2</v>
      </c>
      <c r="I72" s="38">
        <v>16.8</v>
      </c>
      <c r="J72" s="38">
        <v>70</v>
      </c>
      <c r="K72" s="81" t="s">
        <v>156</v>
      </c>
      <c r="L72" s="35"/>
      <c r="M72" s="36"/>
    </row>
    <row r="73" spans="1:13" ht="31.5" x14ac:dyDescent="0.25">
      <c r="A73" s="28"/>
      <c r="B73" s="29"/>
      <c r="C73" s="30"/>
      <c r="D73" s="30" t="s">
        <v>35</v>
      </c>
      <c r="E73" s="93" t="s">
        <v>36</v>
      </c>
      <c r="F73" s="38">
        <v>50</v>
      </c>
      <c r="G73" s="38">
        <f>SUM(F73*3.16/40)</f>
        <v>3.95</v>
      </c>
      <c r="H73" s="38">
        <f>SUM(F73*0.4/40)</f>
        <v>0.5</v>
      </c>
      <c r="I73" s="38">
        <f>SUM(F73*19.32/40)</f>
        <v>24.15</v>
      </c>
      <c r="J73" s="38">
        <f>SUM(F73*93.52/40)</f>
        <v>116.9</v>
      </c>
      <c r="K73" s="34" t="s">
        <v>25</v>
      </c>
      <c r="L73" s="35"/>
      <c r="M73" s="36"/>
    </row>
    <row r="74" spans="1:13" ht="31.5" x14ac:dyDescent="0.25">
      <c r="A74" s="28"/>
      <c r="B74" s="29"/>
      <c r="C74" s="30"/>
      <c r="D74" s="30" t="s">
        <v>37</v>
      </c>
      <c r="E74" s="40" t="s">
        <v>141</v>
      </c>
      <c r="F74" s="38">
        <v>42</v>
      </c>
      <c r="G74" s="38">
        <f>SUM(F74*1.68/30)</f>
        <v>2.3519999999999999</v>
      </c>
      <c r="H74" s="38">
        <f>SUM(F74*0.33/30)</f>
        <v>0.46200000000000002</v>
      </c>
      <c r="I74" s="38">
        <f>SUM(F74*14.82/30)</f>
        <v>20.748000000000001</v>
      </c>
      <c r="J74" s="38">
        <f>SUM(F74*68.97/30)</f>
        <v>96.557999999999993</v>
      </c>
      <c r="K74" s="34" t="s">
        <v>25</v>
      </c>
      <c r="L74" s="35"/>
      <c r="M74" s="36"/>
    </row>
    <row r="75" spans="1:13" ht="15.75" x14ac:dyDescent="0.25">
      <c r="A75" s="28"/>
      <c r="B75" s="29"/>
      <c r="C75" s="30"/>
      <c r="D75" s="37"/>
      <c r="E75" s="41"/>
      <c r="F75" s="69"/>
      <c r="G75" s="69"/>
      <c r="H75" s="69"/>
      <c r="I75" s="69"/>
      <c r="J75" s="69"/>
      <c r="K75" s="34"/>
      <c r="L75" s="35"/>
      <c r="M75" s="36"/>
    </row>
    <row r="76" spans="1:13" ht="15.75" x14ac:dyDescent="0.25">
      <c r="A76" s="28"/>
      <c r="B76" s="29"/>
      <c r="C76" s="30"/>
      <c r="D76" s="37"/>
      <c r="E76" s="41"/>
      <c r="F76" s="64"/>
      <c r="G76" s="64"/>
      <c r="H76" s="64"/>
      <c r="I76" s="64"/>
      <c r="J76" s="64"/>
      <c r="K76" s="34"/>
      <c r="L76" s="35"/>
      <c r="M76" s="36"/>
    </row>
    <row r="77" spans="1:13" ht="15.75" x14ac:dyDescent="0.25">
      <c r="A77" s="43"/>
      <c r="B77" s="44"/>
      <c r="C77" s="45"/>
      <c r="D77" s="46" t="s">
        <v>27</v>
      </c>
      <c r="E77" s="47"/>
      <c r="F77" s="48">
        <f>SUM(F68:F76)</f>
        <v>792</v>
      </c>
      <c r="G77" s="48">
        <f t="shared" ref="G77" si="8">SUM(G68:G76)</f>
        <v>29.232000000000003</v>
      </c>
      <c r="H77" s="48">
        <f t="shared" ref="H77" si="9">SUM(H68:H76)</f>
        <v>27.362000000000002</v>
      </c>
      <c r="I77" s="48">
        <f t="shared" ref="I77" si="10">SUM(I68:I76)</f>
        <v>106.508</v>
      </c>
      <c r="J77" s="48">
        <f>SUM(J68:J76)+0.01</f>
        <v>789.52800000000002</v>
      </c>
      <c r="K77" s="49"/>
      <c r="L77" s="50">
        <f>SUM(L68:L76)</f>
        <v>0</v>
      </c>
      <c r="M77" s="36"/>
    </row>
    <row r="78" spans="1:13" ht="15.75" x14ac:dyDescent="0.25">
      <c r="A78" s="43">
        <f>A60</f>
        <v>1</v>
      </c>
      <c r="B78" s="44">
        <f>B60</f>
        <v>4</v>
      </c>
      <c r="C78" s="144" t="s">
        <v>38</v>
      </c>
      <c r="D78" s="145"/>
      <c r="E78" s="47"/>
      <c r="F78" s="48">
        <f>F67+F77</f>
        <v>1315</v>
      </c>
      <c r="G78" s="48">
        <f t="shared" ref="G78" si="11">G67+G77</f>
        <v>60.364999999999995</v>
      </c>
      <c r="H78" s="48">
        <f t="shared" ref="H78" si="12">H67+H77</f>
        <v>56.015000000000001</v>
      </c>
      <c r="I78" s="48">
        <f t="shared" ref="I78" si="13">I67+I77</f>
        <v>178.70499999999998</v>
      </c>
      <c r="J78" s="48">
        <f t="shared" ref="J78" si="14">J67+J77</f>
        <v>1460.625</v>
      </c>
      <c r="K78" s="49"/>
      <c r="L78" s="50">
        <f>L67+L77</f>
        <v>0</v>
      </c>
      <c r="M78" s="36"/>
    </row>
    <row r="79" spans="1:13" ht="15.75" x14ac:dyDescent="0.25">
      <c r="A79" s="28">
        <v>1</v>
      </c>
      <c r="B79" s="29">
        <v>5</v>
      </c>
      <c r="C79" s="30" t="s">
        <v>21</v>
      </c>
      <c r="D79" s="30" t="s">
        <v>22</v>
      </c>
      <c r="E79" s="94" t="s">
        <v>83</v>
      </c>
      <c r="F79" s="95">
        <v>229</v>
      </c>
      <c r="G79" s="95">
        <f>F79*15.7/200</f>
        <v>17.976499999999998</v>
      </c>
      <c r="H79" s="95">
        <f>F79*15.7/200</f>
        <v>17.976499999999998</v>
      </c>
      <c r="I79" s="95">
        <f>F79*19.8/200</f>
        <v>22.670999999999999</v>
      </c>
      <c r="J79" s="95">
        <f>F79*283.3/200</f>
        <v>324.37850000000003</v>
      </c>
      <c r="K79" s="58" t="s">
        <v>136</v>
      </c>
      <c r="L79" s="35"/>
      <c r="M79" s="36"/>
    </row>
    <row r="80" spans="1:13" ht="15.75" x14ac:dyDescent="0.25">
      <c r="A80" s="28"/>
      <c r="B80" s="29"/>
      <c r="C80" s="30"/>
      <c r="D80" s="30" t="s">
        <v>23</v>
      </c>
      <c r="E80" s="86" t="s">
        <v>24</v>
      </c>
      <c r="F80" s="39">
        <v>200</v>
      </c>
      <c r="G80" s="39">
        <v>3.1</v>
      </c>
      <c r="H80" s="39">
        <v>3.2</v>
      </c>
      <c r="I80" s="39">
        <v>14.4</v>
      </c>
      <c r="J80" s="39">
        <v>99</v>
      </c>
      <c r="K80" s="58" t="s">
        <v>132</v>
      </c>
      <c r="L80" s="35"/>
      <c r="M80" s="36"/>
    </row>
    <row r="81" spans="1:13" ht="31.5" x14ac:dyDescent="0.25">
      <c r="A81" s="28"/>
      <c r="B81" s="29"/>
      <c r="C81" s="30"/>
      <c r="D81" s="30" t="s">
        <v>35</v>
      </c>
      <c r="E81" s="40" t="s">
        <v>36</v>
      </c>
      <c r="F81" s="38">
        <v>50</v>
      </c>
      <c r="G81" s="38">
        <f>SUM(F81*3.16/40)</f>
        <v>3.95</v>
      </c>
      <c r="H81" s="38">
        <f>SUM(F81*0.4/40)</f>
        <v>0.5</v>
      </c>
      <c r="I81" s="38">
        <f>SUM(F81*19.32/40)</f>
        <v>24.15</v>
      </c>
      <c r="J81" s="38">
        <f>SUM(F81*93.52/40)</f>
        <v>116.9</v>
      </c>
      <c r="K81" s="34" t="s">
        <v>25</v>
      </c>
      <c r="L81" s="35"/>
      <c r="M81" s="36"/>
    </row>
    <row r="82" spans="1:13" ht="31.5" x14ac:dyDescent="0.25">
      <c r="A82" s="28"/>
      <c r="B82" s="29"/>
      <c r="C82" s="30"/>
      <c r="D82" s="30" t="s">
        <v>37</v>
      </c>
      <c r="E82" s="40" t="s">
        <v>141</v>
      </c>
      <c r="F82" s="38">
        <v>52</v>
      </c>
      <c r="G82" s="38">
        <f>SUM(F82*2.8/50)</f>
        <v>2.9119999999999999</v>
      </c>
      <c r="H82" s="38">
        <f>SUM(F82*0.55/50)</f>
        <v>0.57200000000000006</v>
      </c>
      <c r="I82" s="38">
        <f>SUM(F82*24.7/50)</f>
        <v>25.687999999999999</v>
      </c>
      <c r="J82" s="38">
        <f>SUM(F82*114.95/50)</f>
        <v>119.54800000000002</v>
      </c>
      <c r="K82" s="34" t="s">
        <v>25</v>
      </c>
      <c r="L82" s="35"/>
      <c r="M82" s="36"/>
    </row>
    <row r="83" spans="1:13" ht="15.75" x14ac:dyDescent="0.25">
      <c r="A83" s="28"/>
      <c r="B83" s="29"/>
      <c r="C83" s="30"/>
      <c r="D83" s="30"/>
      <c r="E83" s="40"/>
      <c r="F83" s="96"/>
      <c r="G83" s="96"/>
      <c r="H83" s="96"/>
      <c r="I83" s="96"/>
      <c r="J83" s="96"/>
      <c r="K83" s="34"/>
      <c r="L83" s="35"/>
      <c r="M83" s="36"/>
    </row>
    <row r="84" spans="1:13" ht="15.75" x14ac:dyDescent="0.25">
      <c r="A84" s="43"/>
      <c r="B84" s="44"/>
      <c r="C84" s="45"/>
      <c r="D84" s="46" t="s">
        <v>27</v>
      </c>
      <c r="E84" s="47"/>
      <c r="F84" s="48">
        <f>SUM(F79:F83)</f>
        <v>531</v>
      </c>
      <c r="G84" s="48">
        <f>SUM(G79:G83)</f>
        <v>27.938499999999998</v>
      </c>
      <c r="H84" s="48">
        <f>SUM(H79:H83)</f>
        <v>22.248499999999996</v>
      </c>
      <c r="I84" s="48">
        <f>SUM(I79:I83)</f>
        <v>86.908999999999992</v>
      </c>
      <c r="J84" s="48">
        <f>SUM(J79:J83)</f>
        <v>659.82650000000001</v>
      </c>
      <c r="K84" s="49"/>
      <c r="L84" s="50">
        <f>SUM(L79:L83)</f>
        <v>0</v>
      </c>
      <c r="M84" s="36"/>
    </row>
    <row r="85" spans="1:13" ht="31.5" x14ac:dyDescent="0.25">
      <c r="A85" s="28">
        <v>1</v>
      </c>
      <c r="B85" s="29">
        <v>5</v>
      </c>
      <c r="C85" s="30" t="s">
        <v>28</v>
      </c>
      <c r="D85" s="30" t="s">
        <v>29</v>
      </c>
      <c r="E85" s="31" t="s">
        <v>151</v>
      </c>
      <c r="F85" s="33">
        <v>60</v>
      </c>
      <c r="G85" s="33">
        <f>F85*0.9/60</f>
        <v>0.9</v>
      </c>
      <c r="H85" s="33">
        <f>F85*5.4/60</f>
        <v>5.4</v>
      </c>
      <c r="I85" s="33">
        <f>F85*11.34/60</f>
        <v>11.34</v>
      </c>
      <c r="J85" s="33">
        <f>F85*86.76/60</f>
        <v>86.76</v>
      </c>
      <c r="K85" s="34" t="s">
        <v>86</v>
      </c>
      <c r="L85" s="35"/>
      <c r="M85" s="36"/>
    </row>
    <row r="86" spans="1:13" ht="31.5" x14ac:dyDescent="0.25">
      <c r="A86" s="28"/>
      <c r="B86" s="29"/>
      <c r="C86" s="30"/>
      <c r="D86" s="30" t="s">
        <v>30</v>
      </c>
      <c r="E86" s="31" t="s">
        <v>108</v>
      </c>
      <c r="F86" s="33">
        <v>200</v>
      </c>
      <c r="G86" s="39">
        <f>F86*1.9/250+0.3+1.6</f>
        <v>3.42</v>
      </c>
      <c r="H86" s="39">
        <f>F86*5.2/250+1.7</f>
        <v>5.86</v>
      </c>
      <c r="I86" s="39">
        <f>F86*9/250+0.6+8.23</f>
        <v>16.03</v>
      </c>
      <c r="J86" s="39">
        <f>F86*123.32/250+22+3.6</f>
        <v>124.256</v>
      </c>
      <c r="K86" s="34" t="s">
        <v>87</v>
      </c>
      <c r="L86" s="35"/>
      <c r="M86" s="36"/>
    </row>
    <row r="87" spans="1:13" ht="15.75" x14ac:dyDescent="0.25">
      <c r="A87" s="28"/>
      <c r="B87" s="29"/>
      <c r="C87" s="30"/>
      <c r="D87" s="30" t="s">
        <v>31</v>
      </c>
      <c r="E87" s="97" t="s">
        <v>51</v>
      </c>
      <c r="F87" s="98">
        <v>240</v>
      </c>
      <c r="G87" s="98">
        <f>F87*18.5/250</f>
        <v>17.760000000000002</v>
      </c>
      <c r="H87" s="98">
        <f>F87*20.64/250</f>
        <v>19.814400000000003</v>
      </c>
      <c r="I87" s="98">
        <f>F87*43.19/250</f>
        <v>41.462399999999995</v>
      </c>
      <c r="J87" s="98">
        <f>F87*345.76/200</f>
        <v>414.91199999999998</v>
      </c>
      <c r="K87" s="34" t="s">
        <v>137</v>
      </c>
      <c r="L87" s="35"/>
      <c r="M87" s="36"/>
    </row>
    <row r="88" spans="1:13" ht="15.75" x14ac:dyDescent="0.25">
      <c r="A88" s="28"/>
      <c r="B88" s="29"/>
      <c r="C88" s="30"/>
      <c r="D88" s="30" t="s">
        <v>76</v>
      </c>
      <c r="E88" s="67" t="s">
        <v>152</v>
      </c>
      <c r="F88" s="39">
        <v>200</v>
      </c>
      <c r="G88" s="39">
        <v>1</v>
      </c>
      <c r="H88" s="39">
        <v>0.1</v>
      </c>
      <c r="I88" s="39">
        <v>19.8</v>
      </c>
      <c r="J88" s="39">
        <v>84</v>
      </c>
      <c r="K88" s="34" t="s">
        <v>93</v>
      </c>
      <c r="L88" s="35"/>
      <c r="M88" s="36"/>
    </row>
    <row r="89" spans="1:13" ht="31.5" x14ac:dyDescent="0.25">
      <c r="A89" s="28"/>
      <c r="B89" s="29"/>
      <c r="C89" s="30"/>
      <c r="D89" s="30" t="s">
        <v>35</v>
      </c>
      <c r="E89" s="40" t="s">
        <v>36</v>
      </c>
      <c r="F89" s="38">
        <v>50</v>
      </c>
      <c r="G89" s="38">
        <f>SUM(F89*3.95/50)</f>
        <v>3.95</v>
      </c>
      <c r="H89" s="38">
        <f>SUM(F89*0.5/50)</f>
        <v>0.5</v>
      </c>
      <c r="I89" s="38">
        <f>SUM(F89*24.15/50)</f>
        <v>24.15</v>
      </c>
      <c r="J89" s="38">
        <f>SUM(F89*116.9/50)</f>
        <v>116.9</v>
      </c>
      <c r="K89" s="34" t="s">
        <v>25</v>
      </c>
      <c r="L89" s="35"/>
      <c r="M89" s="36"/>
    </row>
    <row r="90" spans="1:13" ht="31.5" x14ac:dyDescent="0.25">
      <c r="A90" s="28"/>
      <c r="B90" s="29"/>
      <c r="C90" s="30"/>
      <c r="D90" s="30" t="s">
        <v>37</v>
      </c>
      <c r="E90" s="31" t="s">
        <v>141</v>
      </c>
      <c r="F90" s="38">
        <v>49</v>
      </c>
      <c r="G90" s="38">
        <f>SUM(F90*1.68/30)</f>
        <v>2.7439999999999998</v>
      </c>
      <c r="H90" s="38">
        <f>SUM(F90*0.33/30)</f>
        <v>0.53900000000000003</v>
      </c>
      <c r="I90" s="38">
        <f>SUM(F90*14.82/30)</f>
        <v>24.206000000000003</v>
      </c>
      <c r="J90" s="38">
        <f>SUM(F90*68.97/30)</f>
        <v>112.651</v>
      </c>
      <c r="K90" s="34" t="s">
        <v>25</v>
      </c>
      <c r="L90" s="35"/>
      <c r="M90" s="36"/>
    </row>
    <row r="91" spans="1:13" ht="15.75" x14ac:dyDescent="0.25">
      <c r="A91" s="28"/>
      <c r="B91" s="29"/>
      <c r="C91" s="30"/>
      <c r="D91" s="37"/>
      <c r="E91" s="41"/>
      <c r="F91" s="64"/>
      <c r="G91" s="64"/>
      <c r="H91" s="64"/>
      <c r="I91" s="64"/>
      <c r="J91" s="64"/>
      <c r="K91" s="34"/>
      <c r="L91" s="35"/>
      <c r="M91" s="36"/>
    </row>
    <row r="92" spans="1:13" ht="15.75" x14ac:dyDescent="0.25">
      <c r="A92" s="28"/>
      <c r="B92" s="29"/>
      <c r="C92" s="30"/>
      <c r="D92" s="37"/>
      <c r="E92" s="41"/>
      <c r="F92" s="64"/>
      <c r="G92" s="64"/>
      <c r="H92" s="64"/>
      <c r="I92" s="64"/>
      <c r="J92" s="64"/>
      <c r="K92" s="34"/>
      <c r="L92" s="35"/>
      <c r="M92" s="36"/>
    </row>
    <row r="93" spans="1:13" ht="15.75" x14ac:dyDescent="0.25">
      <c r="A93" s="43"/>
      <c r="B93" s="44"/>
      <c r="C93" s="45"/>
      <c r="D93" s="46" t="s">
        <v>27</v>
      </c>
      <c r="E93" s="47"/>
      <c r="F93" s="48">
        <f>SUM(F85:F92)</f>
        <v>799</v>
      </c>
      <c r="G93" s="48">
        <f>SUM(G85:G92)</f>
        <v>29.774000000000001</v>
      </c>
      <c r="H93" s="48">
        <f>SUM(H85:H92)</f>
        <v>32.213400000000007</v>
      </c>
      <c r="I93" s="48">
        <f>SUM(I85:I92)</f>
        <v>136.98840000000001</v>
      </c>
      <c r="J93" s="48">
        <f>SUM(J85:J92)</f>
        <v>939.47899999999993</v>
      </c>
      <c r="K93" s="49"/>
      <c r="L93" s="50">
        <f>SUM(L85:L92)</f>
        <v>0</v>
      </c>
      <c r="M93" s="36"/>
    </row>
    <row r="94" spans="1:13" ht="15.75" x14ac:dyDescent="0.25">
      <c r="A94" s="43">
        <f>A79</f>
        <v>1</v>
      </c>
      <c r="B94" s="44">
        <f>B79</f>
        <v>5</v>
      </c>
      <c r="C94" s="144" t="s">
        <v>38</v>
      </c>
      <c r="D94" s="145"/>
      <c r="E94" s="47"/>
      <c r="F94" s="48">
        <f>F84+F93</f>
        <v>1330</v>
      </c>
      <c r="G94" s="48">
        <f>G84+G93</f>
        <v>57.712500000000006</v>
      </c>
      <c r="H94" s="48">
        <f>H84+H93</f>
        <v>54.4619</v>
      </c>
      <c r="I94" s="48">
        <f>I84+I93</f>
        <v>223.8974</v>
      </c>
      <c r="J94" s="48">
        <f>J84+J93</f>
        <v>1599.3054999999999</v>
      </c>
      <c r="K94" s="49"/>
      <c r="L94" s="50">
        <f>L84+L93</f>
        <v>0</v>
      </c>
      <c r="M94" s="36"/>
    </row>
    <row r="95" spans="1:13" ht="31.5" x14ac:dyDescent="0.25">
      <c r="A95" s="28">
        <v>2</v>
      </c>
      <c r="B95" s="29">
        <v>1</v>
      </c>
      <c r="C95" s="30" t="s">
        <v>21</v>
      </c>
      <c r="D95" s="30" t="s">
        <v>22</v>
      </c>
      <c r="E95" s="31" t="s">
        <v>89</v>
      </c>
      <c r="F95" s="33">
        <v>200</v>
      </c>
      <c r="G95" s="33">
        <f>F95*5.5/200</f>
        <v>5.5</v>
      </c>
      <c r="H95" s="33">
        <f>F95*9.9/200</f>
        <v>9.9</v>
      </c>
      <c r="I95" s="33">
        <f>F95*39.26/200</f>
        <v>39.26</v>
      </c>
      <c r="J95" s="33">
        <f>F95*268.14/200</f>
        <v>268.14</v>
      </c>
      <c r="K95" s="34">
        <v>44443</v>
      </c>
      <c r="L95" s="35"/>
      <c r="M95" s="36"/>
    </row>
    <row r="96" spans="1:13" ht="15.75" x14ac:dyDescent="0.25">
      <c r="A96" s="28"/>
      <c r="B96" s="29"/>
      <c r="C96" s="30"/>
      <c r="D96" s="37" t="s">
        <v>131</v>
      </c>
      <c r="E96" s="31" t="s">
        <v>67</v>
      </c>
      <c r="F96" s="38">
        <v>100</v>
      </c>
      <c r="G96" s="38">
        <v>0.4</v>
      </c>
      <c r="H96" s="38">
        <v>0.4</v>
      </c>
      <c r="I96" s="38">
        <v>10.95</v>
      </c>
      <c r="J96" s="38">
        <v>49</v>
      </c>
      <c r="K96" s="34" t="s">
        <v>25</v>
      </c>
      <c r="L96" s="35"/>
      <c r="M96" s="36"/>
    </row>
    <row r="97" spans="1:13" ht="15.75" x14ac:dyDescent="0.25">
      <c r="A97" s="28"/>
      <c r="B97" s="29"/>
      <c r="C97" s="30"/>
      <c r="D97" s="30" t="s">
        <v>23</v>
      </c>
      <c r="E97" s="93" t="s">
        <v>146</v>
      </c>
      <c r="F97" s="99">
        <v>200</v>
      </c>
      <c r="G97" s="100">
        <v>0.2</v>
      </c>
      <c r="H97" s="100">
        <v>0</v>
      </c>
      <c r="I97" s="100">
        <v>13.7</v>
      </c>
      <c r="J97" s="100">
        <v>56</v>
      </c>
      <c r="K97" s="34" t="s">
        <v>147</v>
      </c>
      <c r="L97" s="35"/>
      <c r="M97" s="36"/>
    </row>
    <row r="98" spans="1:13" ht="15.75" x14ac:dyDescent="0.25">
      <c r="A98" s="28"/>
      <c r="B98" s="29"/>
      <c r="C98" s="30"/>
      <c r="D98" s="37" t="s">
        <v>35</v>
      </c>
      <c r="E98" s="31" t="s">
        <v>26</v>
      </c>
      <c r="F98" s="32">
        <v>60</v>
      </c>
      <c r="G98" s="32">
        <f>F98*6.1/50</f>
        <v>7.32</v>
      </c>
      <c r="H98" s="32">
        <f>F98*3.7/50</f>
        <v>4.4400000000000004</v>
      </c>
      <c r="I98" s="32">
        <f>F98*17.5/50</f>
        <v>21</v>
      </c>
      <c r="J98" s="32">
        <f>F98*127.7/50</f>
        <v>153.24</v>
      </c>
      <c r="K98" s="58">
        <v>44240</v>
      </c>
      <c r="L98" s="35"/>
      <c r="M98" s="36"/>
    </row>
    <row r="99" spans="1:13" ht="31.5" x14ac:dyDescent="0.25">
      <c r="A99" s="28"/>
      <c r="B99" s="29"/>
      <c r="C99" s="30"/>
      <c r="D99" s="30" t="s">
        <v>37</v>
      </c>
      <c r="E99" s="31" t="s">
        <v>141</v>
      </c>
      <c r="F99" s="38">
        <v>30</v>
      </c>
      <c r="G99" s="38">
        <f>SUM(F99*1.68/30)</f>
        <v>1.68</v>
      </c>
      <c r="H99" s="38">
        <f>SUM(F99*0.33/30)</f>
        <v>0.33</v>
      </c>
      <c r="I99" s="38">
        <f>SUM(F99*14.82/30)</f>
        <v>14.82</v>
      </c>
      <c r="J99" s="38">
        <f>SUM(F99*68.97/30)</f>
        <v>68.97</v>
      </c>
      <c r="K99" s="34" t="s">
        <v>25</v>
      </c>
      <c r="L99" s="35"/>
      <c r="M99" s="36"/>
    </row>
    <row r="100" spans="1:13" ht="15.75" x14ac:dyDescent="0.25">
      <c r="A100" s="28"/>
      <c r="B100" s="29"/>
      <c r="C100" s="30"/>
      <c r="D100" s="37"/>
      <c r="E100" s="41"/>
      <c r="F100" s="69"/>
      <c r="G100" s="69"/>
      <c r="H100" s="69"/>
      <c r="I100" s="69"/>
      <c r="J100" s="69"/>
      <c r="K100" s="34"/>
      <c r="L100" s="35"/>
      <c r="M100" s="36"/>
    </row>
    <row r="101" spans="1:13" ht="15.75" x14ac:dyDescent="0.25">
      <c r="A101" s="43"/>
      <c r="B101" s="44"/>
      <c r="C101" s="45"/>
      <c r="D101" s="46" t="s">
        <v>27</v>
      </c>
      <c r="E101" s="47"/>
      <c r="F101" s="48">
        <f t="shared" ref="F101:J101" si="15">SUM(F95:F100)</f>
        <v>590</v>
      </c>
      <c r="G101" s="48">
        <f t="shared" si="15"/>
        <v>15.100000000000001</v>
      </c>
      <c r="H101" s="48">
        <f t="shared" si="15"/>
        <v>15.070000000000002</v>
      </c>
      <c r="I101" s="48">
        <f t="shared" si="15"/>
        <v>99.72999999999999</v>
      </c>
      <c r="J101" s="48">
        <f t="shared" si="15"/>
        <v>595.35</v>
      </c>
      <c r="K101" s="49"/>
      <c r="L101" s="50">
        <f>SUM(L95:L100)</f>
        <v>0</v>
      </c>
      <c r="M101" s="36"/>
    </row>
    <row r="102" spans="1:13" ht="47.25" x14ac:dyDescent="0.25">
      <c r="A102" s="28">
        <f>A95</f>
        <v>2</v>
      </c>
      <c r="B102" s="29">
        <f>B95</f>
        <v>1</v>
      </c>
      <c r="C102" s="30" t="s">
        <v>28</v>
      </c>
      <c r="D102" s="30" t="s">
        <v>29</v>
      </c>
      <c r="E102" s="80" t="s">
        <v>121</v>
      </c>
      <c r="F102" s="38">
        <v>60</v>
      </c>
      <c r="G102" s="38">
        <f>F102*1.5/60</f>
        <v>1.5</v>
      </c>
      <c r="H102" s="38">
        <f>F102*6/60</f>
        <v>6</v>
      </c>
      <c r="I102" s="38">
        <f>F102*4.25/60</f>
        <v>4.25</v>
      </c>
      <c r="J102" s="38">
        <f>F102*76.8/60</f>
        <v>76.8</v>
      </c>
      <c r="K102" s="58">
        <v>44409</v>
      </c>
      <c r="L102" s="101"/>
      <c r="M102" s="36"/>
    </row>
    <row r="103" spans="1:13" ht="31.5" x14ac:dyDescent="0.25">
      <c r="A103" s="28"/>
      <c r="B103" s="29"/>
      <c r="C103" s="30"/>
      <c r="D103" s="30" t="s">
        <v>30</v>
      </c>
      <c r="E103" s="80" t="s">
        <v>116</v>
      </c>
      <c r="F103" s="38">
        <v>200</v>
      </c>
      <c r="G103" s="38">
        <f>F103*4.46/200</f>
        <v>4.46</v>
      </c>
      <c r="H103" s="38">
        <f>F103*4.66/200</f>
        <v>4.66</v>
      </c>
      <c r="I103" s="38">
        <f>F103*18.04/200</f>
        <v>18.04</v>
      </c>
      <c r="J103" s="38">
        <f>F103*132/200</f>
        <v>132</v>
      </c>
      <c r="K103" s="58" t="s">
        <v>72</v>
      </c>
      <c r="L103" s="101"/>
      <c r="M103" s="36"/>
    </row>
    <row r="104" spans="1:13" ht="15.75" x14ac:dyDescent="0.25">
      <c r="A104" s="28"/>
      <c r="B104" s="29"/>
      <c r="C104" s="30"/>
      <c r="D104" s="30" t="s">
        <v>35</v>
      </c>
      <c r="E104" s="40" t="s">
        <v>66</v>
      </c>
      <c r="F104" s="38">
        <v>20</v>
      </c>
      <c r="G104" s="38">
        <f>F104*1.71/20</f>
        <v>1.7100000000000002</v>
      </c>
      <c r="H104" s="38">
        <f>F104*0.17/20</f>
        <v>0.17</v>
      </c>
      <c r="I104" s="38">
        <f>F104*10.75/20</f>
        <v>10.75</v>
      </c>
      <c r="J104" s="38">
        <f>F104*51.4/20</f>
        <v>51.4</v>
      </c>
      <c r="K104" s="58" t="s">
        <v>73</v>
      </c>
      <c r="L104" s="101"/>
      <c r="M104" s="36"/>
    </row>
    <row r="105" spans="1:13" ht="15.75" x14ac:dyDescent="0.25">
      <c r="A105" s="28"/>
      <c r="B105" s="29"/>
      <c r="C105" s="30"/>
      <c r="D105" s="30" t="s">
        <v>31</v>
      </c>
      <c r="E105" s="40" t="s">
        <v>40</v>
      </c>
      <c r="F105" s="38">
        <v>90</v>
      </c>
      <c r="G105" s="38">
        <f>F105*13.32/90</f>
        <v>13.32</v>
      </c>
      <c r="H105" s="38">
        <f>F105*11.16/90</f>
        <v>11.16</v>
      </c>
      <c r="I105" s="38">
        <f>F105*8.19/90</f>
        <v>8.19</v>
      </c>
      <c r="J105" s="38">
        <f>F105*186.3/90</f>
        <v>186.3</v>
      </c>
      <c r="K105" s="34">
        <v>44325</v>
      </c>
      <c r="L105" s="101"/>
      <c r="M105" s="36"/>
    </row>
    <row r="106" spans="1:13" ht="15.75" x14ac:dyDescent="0.25">
      <c r="A106" s="28"/>
      <c r="B106" s="29"/>
      <c r="C106" s="30"/>
      <c r="D106" s="30" t="s">
        <v>32</v>
      </c>
      <c r="E106" s="80" t="s">
        <v>44</v>
      </c>
      <c r="F106" s="38">
        <v>180</v>
      </c>
      <c r="G106" s="38">
        <f>F106*6.63/150</f>
        <v>7.9560000000000004</v>
      </c>
      <c r="H106" s="38">
        <f>F106*4.44/150</f>
        <v>5.3280000000000003</v>
      </c>
      <c r="I106" s="38">
        <f>F106*28.8/150</f>
        <v>34.56</v>
      </c>
      <c r="J106" s="38">
        <f>F106*181.5/150</f>
        <v>217.8</v>
      </c>
      <c r="K106" s="58" t="s">
        <v>54</v>
      </c>
      <c r="L106" s="101"/>
      <c r="M106" s="36"/>
    </row>
    <row r="107" spans="1:13" ht="15.75" x14ac:dyDescent="0.25">
      <c r="A107" s="28"/>
      <c r="B107" s="29"/>
      <c r="C107" s="30"/>
      <c r="D107" s="30" t="s">
        <v>76</v>
      </c>
      <c r="E107" s="55" t="s">
        <v>90</v>
      </c>
      <c r="F107" s="33">
        <v>200</v>
      </c>
      <c r="G107" s="33">
        <v>1</v>
      </c>
      <c r="H107" s="33">
        <v>0</v>
      </c>
      <c r="I107" s="33">
        <v>27.4</v>
      </c>
      <c r="J107" s="33">
        <v>114</v>
      </c>
      <c r="K107" s="58" t="s">
        <v>91</v>
      </c>
      <c r="L107" s="101"/>
      <c r="M107" s="36"/>
    </row>
    <row r="108" spans="1:13" ht="31.5" x14ac:dyDescent="0.25">
      <c r="A108" s="28"/>
      <c r="B108" s="29"/>
      <c r="C108" s="30"/>
      <c r="D108" s="30" t="s">
        <v>37</v>
      </c>
      <c r="E108" s="40" t="s">
        <v>141</v>
      </c>
      <c r="F108" s="38">
        <v>50</v>
      </c>
      <c r="G108" s="38">
        <f>SUM(F108*1.68/30)</f>
        <v>2.8</v>
      </c>
      <c r="H108" s="38">
        <f>SUM(F108*0.33/30)</f>
        <v>0.55000000000000004</v>
      </c>
      <c r="I108" s="38">
        <f>SUM(F108*14.82/30)</f>
        <v>24.7</v>
      </c>
      <c r="J108" s="38">
        <f>SUM(F108*68.97/30)</f>
        <v>114.95</v>
      </c>
      <c r="K108" s="58" t="s">
        <v>39</v>
      </c>
      <c r="L108" s="101"/>
      <c r="M108" s="36"/>
    </row>
    <row r="109" spans="1:13" ht="15.75" x14ac:dyDescent="0.25">
      <c r="A109" s="28"/>
      <c r="B109" s="29"/>
      <c r="C109" s="30"/>
      <c r="D109" s="37"/>
      <c r="E109" s="80"/>
      <c r="F109" s="96"/>
      <c r="G109" s="96"/>
      <c r="H109" s="96"/>
      <c r="I109" s="96"/>
      <c r="J109" s="96"/>
      <c r="K109" s="58"/>
      <c r="L109" s="101"/>
      <c r="M109" s="36"/>
    </row>
    <row r="110" spans="1:13" ht="15.75" x14ac:dyDescent="0.25">
      <c r="A110" s="43"/>
      <c r="B110" s="44"/>
      <c r="C110" s="45"/>
      <c r="D110" s="46" t="s">
        <v>27</v>
      </c>
      <c r="E110" s="47"/>
      <c r="F110" s="48">
        <f t="shared" ref="F110:J110" si="16">SUM(F102:F109)</f>
        <v>800</v>
      </c>
      <c r="G110" s="48">
        <f t="shared" si="16"/>
        <v>32.746000000000002</v>
      </c>
      <c r="H110" s="48">
        <f t="shared" si="16"/>
        <v>27.868000000000002</v>
      </c>
      <c r="I110" s="48">
        <f>SUM(I102:I109)</f>
        <v>127.89</v>
      </c>
      <c r="J110" s="48">
        <f t="shared" si="16"/>
        <v>893.25</v>
      </c>
      <c r="K110" s="49"/>
      <c r="L110" s="50">
        <f>SUM(L102:L109)</f>
        <v>0</v>
      </c>
      <c r="M110" s="36"/>
    </row>
    <row r="111" spans="1:13" s="102" customFormat="1" ht="15.75" x14ac:dyDescent="0.25">
      <c r="A111" s="43">
        <f>A95</f>
        <v>2</v>
      </c>
      <c r="B111" s="44">
        <f>B95</f>
        <v>1</v>
      </c>
      <c r="C111" s="144" t="s">
        <v>38</v>
      </c>
      <c r="D111" s="145"/>
      <c r="E111" s="47"/>
      <c r="F111" s="48">
        <f>F101+F110</f>
        <v>1390</v>
      </c>
      <c r="G111" s="48">
        <f>G101+G110</f>
        <v>47.846000000000004</v>
      </c>
      <c r="H111" s="48">
        <f>H101+H110</f>
        <v>42.938000000000002</v>
      </c>
      <c r="I111" s="48">
        <f>I101+I110</f>
        <v>227.62</v>
      </c>
      <c r="J111" s="48">
        <f>J101+J110</f>
        <v>1488.6</v>
      </c>
      <c r="K111" s="49"/>
      <c r="L111" s="50">
        <f>L101+L110</f>
        <v>0</v>
      </c>
    </row>
    <row r="112" spans="1:13" s="36" customFormat="1" ht="31.5" x14ac:dyDescent="0.25">
      <c r="A112" s="52">
        <v>2</v>
      </c>
      <c r="B112" s="53">
        <v>2</v>
      </c>
      <c r="C112" s="30" t="s">
        <v>21</v>
      </c>
      <c r="D112" s="71" t="s">
        <v>22</v>
      </c>
      <c r="E112" s="40" t="s">
        <v>78</v>
      </c>
      <c r="F112" s="38">
        <v>200</v>
      </c>
      <c r="G112" s="38">
        <f>F112*30.42/180</f>
        <v>33.799999999999997</v>
      </c>
      <c r="H112" s="38">
        <f>F112*17.28/180</f>
        <v>19.2</v>
      </c>
      <c r="I112" s="38">
        <f>F112*23.76/180</f>
        <v>26.4</v>
      </c>
      <c r="J112" s="38">
        <f>F112*372.6/180</f>
        <v>414</v>
      </c>
      <c r="K112" s="72" t="s">
        <v>159</v>
      </c>
      <c r="L112" s="54"/>
    </row>
    <row r="113" spans="1:13" ht="15.75" x14ac:dyDescent="0.25">
      <c r="A113" s="28"/>
      <c r="B113" s="29"/>
      <c r="C113" s="30"/>
      <c r="D113" s="71" t="s">
        <v>35</v>
      </c>
      <c r="E113" s="67" t="s">
        <v>138</v>
      </c>
      <c r="F113" s="67">
        <v>50</v>
      </c>
      <c r="G113" s="39">
        <f>F113*3.2/50</f>
        <v>3.2</v>
      </c>
      <c r="H113" s="39">
        <f>F113*7.7/50</f>
        <v>7.7</v>
      </c>
      <c r="I113" s="39">
        <f>F113*19.5/50</f>
        <v>19.5</v>
      </c>
      <c r="J113" s="39">
        <f>F113*160/50</f>
        <v>160</v>
      </c>
      <c r="K113" s="81" t="s">
        <v>139</v>
      </c>
      <c r="L113" s="35"/>
      <c r="M113" s="36"/>
    </row>
    <row r="114" spans="1:13" ht="23.25" customHeight="1" x14ac:dyDescent="0.25">
      <c r="A114" s="28"/>
      <c r="B114" s="29"/>
      <c r="C114" s="30"/>
      <c r="D114" s="71" t="s">
        <v>23</v>
      </c>
      <c r="E114" s="103" t="s">
        <v>84</v>
      </c>
      <c r="F114" s="68">
        <v>200</v>
      </c>
      <c r="G114" s="68">
        <v>0.1</v>
      </c>
      <c r="H114" s="68">
        <f>F114*0.1/200</f>
        <v>0.1</v>
      </c>
      <c r="I114" s="68">
        <v>9.9</v>
      </c>
      <c r="J114" s="68">
        <v>40</v>
      </c>
      <c r="K114" s="72" t="s">
        <v>157</v>
      </c>
      <c r="L114" s="35"/>
      <c r="M114" s="36"/>
    </row>
    <row r="115" spans="1:13" ht="31.5" x14ac:dyDescent="0.25">
      <c r="A115" s="28"/>
      <c r="B115" s="29"/>
      <c r="C115" s="30"/>
      <c r="D115" s="71" t="s">
        <v>37</v>
      </c>
      <c r="E115" s="40" t="s">
        <v>141</v>
      </c>
      <c r="F115" s="38">
        <v>50</v>
      </c>
      <c r="G115" s="38">
        <f>SUM(F115*2.8/50)</f>
        <v>2.8</v>
      </c>
      <c r="H115" s="38">
        <f>SUM(F115*0.55/50)</f>
        <v>0.55000000000000004</v>
      </c>
      <c r="I115" s="38">
        <f>SUM(F115*24.7/50)</f>
        <v>24.7</v>
      </c>
      <c r="J115" s="38">
        <f>SUM(F115*114.95/50)</f>
        <v>114.95</v>
      </c>
      <c r="K115" s="72" t="s">
        <v>25</v>
      </c>
      <c r="L115" s="35"/>
      <c r="M115" s="36"/>
    </row>
    <row r="116" spans="1:13" ht="15.75" x14ac:dyDescent="0.25">
      <c r="A116" s="28"/>
      <c r="B116" s="29"/>
      <c r="C116" s="30"/>
      <c r="D116" s="37"/>
      <c r="E116" s="40"/>
      <c r="F116" s="38"/>
      <c r="G116" s="38"/>
      <c r="H116" s="38"/>
      <c r="I116" s="38"/>
      <c r="J116" s="38"/>
      <c r="K116" s="34"/>
      <c r="L116" s="35"/>
      <c r="M116" s="36"/>
    </row>
    <row r="117" spans="1:13" ht="15.75" x14ac:dyDescent="0.25">
      <c r="A117" s="28"/>
      <c r="B117" s="29"/>
      <c r="C117" s="30"/>
      <c r="D117" s="37"/>
      <c r="E117" s="41"/>
      <c r="F117" s="64"/>
      <c r="G117" s="64"/>
      <c r="H117" s="64"/>
      <c r="I117" s="64"/>
      <c r="J117" s="64"/>
      <c r="K117" s="34"/>
      <c r="L117" s="35"/>
      <c r="M117" s="36"/>
    </row>
    <row r="118" spans="1:13" ht="15.75" x14ac:dyDescent="0.25">
      <c r="A118" s="43"/>
      <c r="B118" s="44"/>
      <c r="C118" s="45"/>
      <c r="D118" s="46" t="s">
        <v>27</v>
      </c>
      <c r="E118" s="47"/>
      <c r="F118" s="48">
        <f>SUM(F112:F117)</f>
        <v>500</v>
      </c>
      <c r="G118" s="48">
        <f>SUM(G112:G117)</f>
        <v>39.9</v>
      </c>
      <c r="H118" s="48">
        <f>SUM(H112:H117)</f>
        <v>27.55</v>
      </c>
      <c r="I118" s="48">
        <f>SUM(I112:I117)</f>
        <v>80.5</v>
      </c>
      <c r="J118" s="48">
        <f>SUM(J112:J117)</f>
        <v>728.95</v>
      </c>
      <c r="K118" s="49"/>
      <c r="L118" s="50">
        <f>SUM(L112:L117)</f>
        <v>0</v>
      </c>
      <c r="M118" s="36"/>
    </row>
    <row r="119" spans="1:13" ht="15.75" x14ac:dyDescent="0.25">
      <c r="A119" s="28">
        <f>A112</f>
        <v>2</v>
      </c>
      <c r="B119" s="29">
        <f>B112</f>
        <v>2</v>
      </c>
      <c r="C119" s="30" t="s">
        <v>28</v>
      </c>
      <c r="D119" s="30" t="s">
        <v>29</v>
      </c>
      <c r="E119" s="80" t="s">
        <v>56</v>
      </c>
      <c r="F119" s="38">
        <v>60</v>
      </c>
      <c r="G119" s="38">
        <f>F119*1.3/100</f>
        <v>0.78</v>
      </c>
      <c r="H119" s="38">
        <f>F119*8.9/100</f>
        <v>5.34</v>
      </c>
      <c r="I119" s="38">
        <f>F119*6.7/100</f>
        <v>4.0199999999999996</v>
      </c>
      <c r="J119" s="38">
        <f>F119*112/100</f>
        <v>67.2</v>
      </c>
      <c r="K119" s="34">
        <v>72</v>
      </c>
      <c r="L119" s="35"/>
      <c r="M119" s="36"/>
    </row>
    <row r="120" spans="1:13" ht="31.5" x14ac:dyDescent="0.25">
      <c r="A120" s="28"/>
      <c r="B120" s="29"/>
      <c r="C120" s="30"/>
      <c r="D120" s="30" t="s">
        <v>30</v>
      </c>
      <c r="E120" s="55" t="s">
        <v>119</v>
      </c>
      <c r="F120" s="38">
        <v>200</v>
      </c>
      <c r="G120" s="38">
        <f>F120*3.9/200</f>
        <v>3.9</v>
      </c>
      <c r="H120" s="38">
        <f>F120*6.02/200</f>
        <v>6.02</v>
      </c>
      <c r="I120" s="38">
        <f>F120*13.88/200</f>
        <v>13.88</v>
      </c>
      <c r="J120" s="38">
        <f>F120*125.6/200</f>
        <v>125.6</v>
      </c>
      <c r="K120" s="34" t="s">
        <v>158</v>
      </c>
      <c r="L120" s="35"/>
      <c r="M120" s="36"/>
    </row>
    <row r="121" spans="1:13" ht="15.75" x14ac:dyDescent="0.25">
      <c r="A121" s="28"/>
      <c r="B121" s="29"/>
      <c r="C121" s="30"/>
      <c r="D121" s="30" t="s">
        <v>31</v>
      </c>
      <c r="E121" s="31" t="s">
        <v>117</v>
      </c>
      <c r="F121" s="32">
        <v>90</v>
      </c>
      <c r="G121" s="38">
        <f>F121*11.7/90</f>
        <v>11.7</v>
      </c>
      <c r="H121" s="38">
        <f>F121*11.61/90</f>
        <v>11.609999999999998</v>
      </c>
      <c r="I121" s="38">
        <f>F121*5.76/90</f>
        <v>5.76</v>
      </c>
      <c r="J121" s="38">
        <f>F121*174.6/90</f>
        <v>174.6</v>
      </c>
      <c r="K121" s="58" t="s">
        <v>88</v>
      </c>
      <c r="L121" s="35"/>
      <c r="M121" s="36"/>
    </row>
    <row r="122" spans="1:13" ht="15.75" x14ac:dyDescent="0.25">
      <c r="A122" s="28"/>
      <c r="B122" s="29"/>
      <c r="C122" s="30"/>
      <c r="D122" s="30" t="s">
        <v>32</v>
      </c>
      <c r="E122" s="31" t="s">
        <v>33</v>
      </c>
      <c r="F122" s="32">
        <v>150</v>
      </c>
      <c r="G122" s="38">
        <f>F122*5.33/150</f>
        <v>5.33</v>
      </c>
      <c r="H122" s="38">
        <f>F122*3/150</f>
        <v>3</v>
      </c>
      <c r="I122" s="38">
        <f>F122*32.4/150</f>
        <v>32.4</v>
      </c>
      <c r="J122" s="38">
        <f>F122*177.75/150</f>
        <v>177.75</v>
      </c>
      <c r="K122" s="58" t="s">
        <v>59</v>
      </c>
      <c r="L122" s="35"/>
      <c r="M122" s="36"/>
    </row>
    <row r="123" spans="1:13" ht="15.75" x14ac:dyDescent="0.25">
      <c r="A123" s="28"/>
      <c r="B123" s="29"/>
      <c r="C123" s="30"/>
      <c r="D123" s="30" t="s">
        <v>76</v>
      </c>
      <c r="E123" s="31" t="s">
        <v>92</v>
      </c>
      <c r="F123" s="33">
        <v>200</v>
      </c>
      <c r="G123" s="33">
        <v>0.4</v>
      </c>
      <c r="H123" s="33">
        <v>0.4</v>
      </c>
      <c r="I123" s="33">
        <v>18.7</v>
      </c>
      <c r="J123" s="33">
        <v>80</v>
      </c>
      <c r="K123" s="58" t="s">
        <v>93</v>
      </c>
      <c r="L123" s="35"/>
      <c r="M123" s="36"/>
    </row>
    <row r="124" spans="1:13" ht="31.5" x14ac:dyDescent="0.25">
      <c r="A124" s="28"/>
      <c r="B124" s="29"/>
      <c r="C124" s="30"/>
      <c r="D124" s="30" t="s">
        <v>35</v>
      </c>
      <c r="E124" s="40" t="s">
        <v>36</v>
      </c>
      <c r="F124" s="38">
        <v>50</v>
      </c>
      <c r="G124" s="38">
        <f>SUM(F124*2.37/30)</f>
        <v>3.95</v>
      </c>
      <c r="H124" s="38">
        <f>SUM(F124*0.3/30)</f>
        <v>0.5</v>
      </c>
      <c r="I124" s="38">
        <f>SUM(F124*14.49/30)</f>
        <v>24.15</v>
      </c>
      <c r="J124" s="38">
        <f>SUM(F124*70.14/30)</f>
        <v>116.9</v>
      </c>
      <c r="K124" s="58" t="s">
        <v>25</v>
      </c>
      <c r="L124" s="35"/>
      <c r="M124" s="36"/>
    </row>
    <row r="125" spans="1:13" ht="31.5" x14ac:dyDescent="0.25">
      <c r="A125" s="28"/>
      <c r="B125" s="29"/>
      <c r="C125" s="30"/>
      <c r="D125" s="30" t="s">
        <v>37</v>
      </c>
      <c r="E125" s="31" t="s">
        <v>141</v>
      </c>
      <c r="F125" s="38">
        <v>30</v>
      </c>
      <c r="G125" s="38">
        <f>SUM(F125*1.68/30)</f>
        <v>1.68</v>
      </c>
      <c r="H125" s="38">
        <f>SUM(F125*0.33/30)</f>
        <v>0.33</v>
      </c>
      <c r="I125" s="38">
        <f>SUM(F125*14.82/30)</f>
        <v>14.82</v>
      </c>
      <c r="J125" s="38">
        <f>SUM(F125*68.97/30)</f>
        <v>68.97</v>
      </c>
      <c r="K125" s="58" t="s">
        <v>25</v>
      </c>
      <c r="L125" s="35"/>
      <c r="M125" s="36"/>
    </row>
    <row r="126" spans="1:13" ht="15.75" x14ac:dyDescent="0.25">
      <c r="A126" s="28"/>
      <c r="B126" s="29"/>
      <c r="C126" s="30"/>
      <c r="D126" s="37"/>
      <c r="E126" s="41"/>
      <c r="F126" s="64"/>
      <c r="G126" s="64"/>
      <c r="H126" s="64"/>
      <c r="I126" s="64"/>
      <c r="J126" s="64"/>
      <c r="K126" s="34"/>
      <c r="L126" s="35"/>
      <c r="M126" s="36"/>
    </row>
    <row r="127" spans="1:13" ht="15.75" x14ac:dyDescent="0.25">
      <c r="A127" s="28"/>
      <c r="B127" s="29"/>
      <c r="C127" s="30"/>
      <c r="D127" s="37"/>
      <c r="E127" s="41"/>
      <c r="F127" s="64"/>
      <c r="G127" s="64"/>
      <c r="H127" s="64"/>
      <c r="I127" s="64"/>
      <c r="J127" s="64"/>
      <c r="K127" s="34"/>
      <c r="L127" s="35"/>
      <c r="M127" s="36"/>
    </row>
    <row r="128" spans="1:13" ht="15.75" x14ac:dyDescent="0.25">
      <c r="A128" s="43"/>
      <c r="B128" s="44"/>
      <c r="C128" s="45"/>
      <c r="D128" s="46" t="s">
        <v>27</v>
      </c>
      <c r="E128" s="47"/>
      <c r="F128" s="48">
        <f>SUM(F119:F127)</f>
        <v>780</v>
      </c>
      <c r="G128" s="48">
        <f>SUM(G119:G127)-0.01</f>
        <v>27.729999999999997</v>
      </c>
      <c r="H128" s="48">
        <f t="shared" ref="H128:J128" si="17">SUM(H119:H127)</f>
        <v>27.199999999999996</v>
      </c>
      <c r="I128" s="48">
        <f t="shared" si="17"/>
        <v>113.72999999999999</v>
      </c>
      <c r="J128" s="48">
        <f t="shared" si="17"/>
        <v>811.02</v>
      </c>
      <c r="K128" s="49"/>
      <c r="L128" s="50">
        <f>SUM(L119:L127)</f>
        <v>0</v>
      </c>
      <c r="M128" s="36"/>
    </row>
    <row r="129" spans="1:13" ht="15.75" x14ac:dyDescent="0.25">
      <c r="A129" s="43">
        <f>A112</f>
        <v>2</v>
      </c>
      <c r="B129" s="44">
        <f>B112</f>
        <v>2</v>
      </c>
      <c r="C129" s="144" t="s">
        <v>38</v>
      </c>
      <c r="D129" s="145"/>
      <c r="E129" s="47"/>
      <c r="F129" s="48">
        <f>F118+F128</f>
        <v>1280</v>
      </c>
      <c r="G129" s="48">
        <f>G118+G128</f>
        <v>67.63</v>
      </c>
      <c r="H129" s="48">
        <f t="shared" ref="H129" si="18">H118+H128</f>
        <v>54.75</v>
      </c>
      <c r="I129" s="48">
        <f t="shared" ref="I129" si="19">I118+I128</f>
        <v>194.23000000000002</v>
      </c>
      <c r="J129" s="48">
        <f t="shared" ref="J129" si="20">J118+J128</f>
        <v>1539.97</v>
      </c>
      <c r="K129" s="49"/>
      <c r="L129" s="50">
        <f>L118+L128</f>
        <v>0</v>
      </c>
      <c r="M129" s="36"/>
    </row>
    <row r="130" spans="1:13" ht="15.75" x14ac:dyDescent="0.25">
      <c r="A130" s="28">
        <v>2</v>
      </c>
      <c r="B130" s="29">
        <v>3</v>
      </c>
      <c r="C130" s="30" t="s">
        <v>21</v>
      </c>
      <c r="D130" s="30" t="s">
        <v>31</v>
      </c>
      <c r="E130" s="80" t="s">
        <v>58</v>
      </c>
      <c r="F130" s="38">
        <v>90</v>
      </c>
      <c r="G130" s="38">
        <f>F130*10.44/90</f>
        <v>10.44</v>
      </c>
      <c r="H130" s="38">
        <f>F130*10.89/90</f>
        <v>10.89</v>
      </c>
      <c r="I130" s="38">
        <f>F130*10.08/90</f>
        <v>10.08</v>
      </c>
      <c r="J130" s="38">
        <f>F130*180/90</f>
        <v>180</v>
      </c>
      <c r="K130" s="58">
        <v>44236</v>
      </c>
      <c r="L130" s="35"/>
      <c r="M130" s="36"/>
    </row>
    <row r="131" spans="1:13" ht="15.75" x14ac:dyDescent="0.25">
      <c r="A131" s="28"/>
      <c r="B131" s="29"/>
      <c r="C131" s="30"/>
      <c r="D131" s="37" t="s">
        <v>32</v>
      </c>
      <c r="E131" s="39" t="s">
        <v>98</v>
      </c>
      <c r="F131" s="39">
        <v>150</v>
      </c>
      <c r="G131" s="39">
        <f>F131*3.6/150</f>
        <v>3.6</v>
      </c>
      <c r="H131" s="39">
        <f>F131*5.4/150</f>
        <v>5.4</v>
      </c>
      <c r="I131" s="39">
        <f>F131*36.68/150</f>
        <v>36.68</v>
      </c>
      <c r="J131" s="39">
        <f>F131*210/150</f>
        <v>210</v>
      </c>
      <c r="K131" s="34" t="s">
        <v>100</v>
      </c>
      <c r="L131" s="35"/>
      <c r="M131" s="36"/>
    </row>
    <row r="132" spans="1:13" ht="15.75" x14ac:dyDescent="0.25">
      <c r="A132" s="28"/>
      <c r="B132" s="29"/>
      <c r="C132" s="30"/>
      <c r="D132" s="30" t="s">
        <v>23</v>
      </c>
      <c r="E132" s="31" t="s">
        <v>41</v>
      </c>
      <c r="F132" s="33">
        <v>200</v>
      </c>
      <c r="G132" s="33">
        <v>0</v>
      </c>
      <c r="H132" s="33">
        <v>0</v>
      </c>
      <c r="I132" s="33">
        <v>12</v>
      </c>
      <c r="J132" s="33">
        <v>48</v>
      </c>
      <c r="K132" s="34" t="s">
        <v>127</v>
      </c>
      <c r="L132" s="35"/>
      <c r="M132" s="36"/>
    </row>
    <row r="133" spans="1:13" ht="15.75" x14ac:dyDescent="0.25">
      <c r="A133" s="28"/>
      <c r="B133" s="29"/>
      <c r="C133" s="30"/>
      <c r="D133" s="30" t="s">
        <v>35</v>
      </c>
      <c r="E133" s="31" t="s">
        <v>26</v>
      </c>
      <c r="F133" s="32">
        <v>50</v>
      </c>
      <c r="G133" s="32">
        <f>F133*6.1/50</f>
        <v>6.1</v>
      </c>
      <c r="H133" s="32">
        <f>F133*3.7/50</f>
        <v>3.7</v>
      </c>
      <c r="I133" s="32">
        <f>17.5*F133/50</f>
        <v>17.5</v>
      </c>
      <c r="J133" s="32">
        <f>F133*127.7/50</f>
        <v>127.7</v>
      </c>
      <c r="K133" s="34" t="s">
        <v>80</v>
      </c>
      <c r="L133" s="35"/>
      <c r="M133" s="36"/>
    </row>
    <row r="134" spans="1:13" ht="31.5" x14ac:dyDescent="0.25">
      <c r="A134" s="28"/>
      <c r="B134" s="29"/>
      <c r="C134" s="30"/>
      <c r="D134" s="30" t="s">
        <v>37</v>
      </c>
      <c r="E134" s="31" t="s">
        <v>141</v>
      </c>
      <c r="F134" s="38">
        <v>20</v>
      </c>
      <c r="G134" s="38">
        <f>SUM(F134*1.68/30)</f>
        <v>1.1200000000000001</v>
      </c>
      <c r="H134" s="38">
        <f>SUM(F134*0.33/30)</f>
        <v>0.22000000000000003</v>
      </c>
      <c r="I134" s="38">
        <f>SUM(F134*14.82/30)</f>
        <v>9.879999999999999</v>
      </c>
      <c r="J134" s="38">
        <f>SUM(F134*68.97/30)</f>
        <v>45.980000000000004</v>
      </c>
      <c r="K134" s="58" t="s">
        <v>39</v>
      </c>
      <c r="L134" s="76"/>
      <c r="M134" s="36"/>
    </row>
    <row r="135" spans="1:13" ht="15.75" x14ac:dyDescent="0.25">
      <c r="A135" s="28"/>
      <c r="B135" s="29"/>
      <c r="C135" s="30"/>
      <c r="D135" s="37"/>
      <c r="E135" s="82"/>
      <c r="F135" s="68"/>
      <c r="G135" s="68"/>
      <c r="H135" s="68"/>
      <c r="I135" s="68"/>
      <c r="J135" s="68"/>
      <c r="K135" s="87"/>
      <c r="L135" s="76"/>
      <c r="M135" s="36"/>
    </row>
    <row r="136" spans="1:13" ht="15.75" x14ac:dyDescent="0.25">
      <c r="A136" s="28"/>
      <c r="B136" s="29"/>
      <c r="C136" s="30"/>
      <c r="D136" s="37"/>
      <c r="E136" s="104"/>
      <c r="F136" s="64"/>
      <c r="G136" s="64"/>
      <c r="H136" s="64"/>
      <c r="I136" s="64"/>
      <c r="J136" s="64"/>
      <c r="K136" s="34"/>
      <c r="L136" s="35"/>
      <c r="M136" s="36"/>
    </row>
    <row r="137" spans="1:13" ht="15.75" x14ac:dyDescent="0.25">
      <c r="A137" s="43"/>
      <c r="B137" s="44"/>
      <c r="C137" s="45"/>
      <c r="D137" s="46" t="s">
        <v>27</v>
      </c>
      <c r="E137" s="47"/>
      <c r="F137" s="105">
        <f>SUM(F130:F136)</f>
        <v>510</v>
      </c>
      <c r="G137" s="48">
        <f>SUM(G130:G136)</f>
        <v>21.26</v>
      </c>
      <c r="H137" s="48">
        <f>SUM(H130:H136)</f>
        <v>20.209999999999997</v>
      </c>
      <c r="I137" s="48">
        <f>SUM(I130:I136)-0.01</f>
        <v>86.13</v>
      </c>
      <c r="J137" s="48">
        <f t="shared" ref="J137" si="21">SUM(J130:J136)</f>
        <v>611.68000000000006</v>
      </c>
      <c r="K137" s="49"/>
      <c r="L137" s="50">
        <f>SUM(L130:L136)</f>
        <v>0</v>
      </c>
      <c r="M137" s="36"/>
    </row>
    <row r="138" spans="1:13" ht="31.5" x14ac:dyDescent="0.25">
      <c r="A138" s="28">
        <f>A130</f>
        <v>2</v>
      </c>
      <c r="B138" s="29">
        <f>B130</f>
        <v>3</v>
      </c>
      <c r="C138" s="30" t="s">
        <v>28</v>
      </c>
      <c r="D138" s="30" t="s">
        <v>29</v>
      </c>
      <c r="E138" s="80" t="s">
        <v>143</v>
      </c>
      <c r="F138" s="38">
        <v>60</v>
      </c>
      <c r="G138" s="38">
        <f>F138*1.2/100</f>
        <v>0.72</v>
      </c>
      <c r="H138" s="38">
        <f>F138*6/100</f>
        <v>3.6</v>
      </c>
      <c r="I138" s="38">
        <f>F138*16.2/100</f>
        <v>9.7200000000000006</v>
      </c>
      <c r="J138" s="38">
        <f>F138*124/100</f>
        <v>74.400000000000006</v>
      </c>
      <c r="K138" s="72" t="s">
        <v>144</v>
      </c>
      <c r="L138" s="35"/>
      <c r="M138" s="36"/>
    </row>
    <row r="139" spans="1:13" ht="31.5" x14ac:dyDescent="0.25">
      <c r="A139" s="28"/>
      <c r="B139" s="29"/>
      <c r="C139" s="30"/>
      <c r="D139" s="30" t="s">
        <v>30</v>
      </c>
      <c r="E139" s="55" t="s">
        <v>122</v>
      </c>
      <c r="F139" s="33">
        <v>200</v>
      </c>
      <c r="G139" s="68">
        <f>F139*3.9/250+1.6+0.3</f>
        <v>5.0199999999999996</v>
      </c>
      <c r="H139" s="68">
        <f>F139*7.1/250+1.7</f>
        <v>7.38</v>
      </c>
      <c r="I139" s="68">
        <f>F139*11/250+0.6</f>
        <v>9.4</v>
      </c>
      <c r="J139" s="68">
        <f>F139*131/250+22+3.6</f>
        <v>130.4</v>
      </c>
      <c r="K139" s="81">
        <v>44379</v>
      </c>
      <c r="L139" s="35"/>
      <c r="M139" s="36"/>
    </row>
    <row r="140" spans="1:13" ht="15.75" x14ac:dyDescent="0.25">
      <c r="A140" s="28"/>
      <c r="B140" s="29"/>
      <c r="C140" s="30"/>
      <c r="D140" s="30" t="s">
        <v>31</v>
      </c>
      <c r="E140" s="55" t="s">
        <v>57</v>
      </c>
      <c r="F140" s="33">
        <v>90</v>
      </c>
      <c r="G140" s="33">
        <f>F140*10.07/100</f>
        <v>9.0630000000000006</v>
      </c>
      <c r="H140" s="33">
        <f>F140*7.08/100</f>
        <v>6.3720000000000008</v>
      </c>
      <c r="I140" s="33">
        <f>F140*9.05/100</f>
        <v>8.1450000000000014</v>
      </c>
      <c r="J140" s="33">
        <f>F140*140.77/100</f>
        <v>126.69300000000001</v>
      </c>
      <c r="K140" s="81" t="s">
        <v>95</v>
      </c>
      <c r="L140" s="35"/>
      <c r="M140" s="36"/>
    </row>
    <row r="141" spans="1:13" ht="15.75" x14ac:dyDescent="0.25">
      <c r="A141" s="28"/>
      <c r="B141" s="29"/>
      <c r="C141" s="30"/>
      <c r="D141" s="30" t="s">
        <v>32</v>
      </c>
      <c r="E141" s="55" t="s">
        <v>49</v>
      </c>
      <c r="F141" s="38">
        <v>150</v>
      </c>
      <c r="G141" s="38">
        <f>F141*3.17/150</f>
        <v>3.17</v>
      </c>
      <c r="H141" s="38">
        <f>F141*3.6/150</f>
        <v>3.6</v>
      </c>
      <c r="I141" s="38">
        <f>F141*20.4/150</f>
        <v>20.399999999999999</v>
      </c>
      <c r="J141" s="38">
        <f>F141*128/150</f>
        <v>128</v>
      </c>
      <c r="K141" s="72" t="s">
        <v>96</v>
      </c>
      <c r="L141" s="35"/>
      <c r="M141" s="36"/>
    </row>
    <row r="142" spans="1:13" ht="15.75" x14ac:dyDescent="0.25">
      <c r="A142" s="28"/>
      <c r="B142" s="29"/>
      <c r="C142" s="30"/>
      <c r="D142" s="30" t="s">
        <v>76</v>
      </c>
      <c r="E142" s="55" t="s">
        <v>118</v>
      </c>
      <c r="F142" s="33">
        <v>200</v>
      </c>
      <c r="G142" s="33">
        <v>0</v>
      </c>
      <c r="H142" s="33">
        <v>0</v>
      </c>
      <c r="I142" s="33">
        <v>27.8</v>
      </c>
      <c r="J142" s="33">
        <v>111</v>
      </c>
      <c r="K142" s="72" t="s">
        <v>97</v>
      </c>
      <c r="L142" s="35"/>
      <c r="M142" s="36"/>
    </row>
    <row r="143" spans="1:13" ht="31.5" x14ac:dyDescent="0.25">
      <c r="A143" s="28"/>
      <c r="B143" s="29"/>
      <c r="C143" s="30"/>
      <c r="D143" s="30" t="s">
        <v>35</v>
      </c>
      <c r="E143" s="40" t="s">
        <v>36</v>
      </c>
      <c r="F143" s="38">
        <v>50</v>
      </c>
      <c r="G143" s="38">
        <f>SUM(F143*2.37/30)</f>
        <v>3.95</v>
      </c>
      <c r="H143" s="38">
        <f>SUM(F143*0.3/30)</f>
        <v>0.5</v>
      </c>
      <c r="I143" s="38">
        <f>SUM(F143*14.49/30)</f>
        <v>24.15</v>
      </c>
      <c r="J143" s="38">
        <f>SUM(F143*70.14/30)</f>
        <v>116.9</v>
      </c>
      <c r="K143" s="58" t="s">
        <v>25</v>
      </c>
      <c r="L143" s="35"/>
      <c r="M143" s="36"/>
    </row>
    <row r="144" spans="1:13" ht="31.5" x14ac:dyDescent="0.25">
      <c r="A144" s="28"/>
      <c r="B144" s="29"/>
      <c r="C144" s="30"/>
      <c r="D144" s="30" t="s">
        <v>37</v>
      </c>
      <c r="E144" s="31" t="s">
        <v>141</v>
      </c>
      <c r="F144" s="38">
        <v>39</v>
      </c>
      <c r="G144" s="38">
        <f>SUM(F144*1.68/30)</f>
        <v>2.1839999999999997</v>
      </c>
      <c r="H144" s="38">
        <f>SUM(F144*0.33/30)</f>
        <v>0.42900000000000005</v>
      </c>
      <c r="I144" s="38">
        <f>SUM(F144*14.82/30)</f>
        <v>19.266000000000002</v>
      </c>
      <c r="J144" s="38">
        <f>SUM(F144*68.97/30)</f>
        <v>89.661000000000001</v>
      </c>
      <c r="K144" s="58" t="s">
        <v>39</v>
      </c>
      <c r="L144" s="35"/>
      <c r="M144" s="36"/>
    </row>
    <row r="145" spans="1:13" ht="15.75" x14ac:dyDescent="0.25">
      <c r="A145" s="28"/>
      <c r="B145" s="29"/>
      <c r="C145" s="30"/>
      <c r="D145" s="37"/>
      <c r="E145" s="41"/>
      <c r="F145" s="64"/>
      <c r="G145" s="64"/>
      <c r="H145" s="64"/>
      <c r="I145" s="64"/>
      <c r="J145" s="64"/>
      <c r="K145" s="34"/>
      <c r="L145" s="35"/>
      <c r="M145" s="36"/>
    </row>
    <row r="146" spans="1:13" ht="15.75" x14ac:dyDescent="0.25">
      <c r="A146" s="43"/>
      <c r="B146" s="44"/>
      <c r="C146" s="45"/>
      <c r="D146" s="46" t="s">
        <v>27</v>
      </c>
      <c r="E146" s="47"/>
      <c r="F146" s="48">
        <f>SUM(F138:F145)</f>
        <v>789</v>
      </c>
      <c r="G146" s="48">
        <f>SUM(G138:G145)</f>
        <v>24.106999999999999</v>
      </c>
      <c r="H146" s="48">
        <f>SUM(H138:H145)</f>
        <v>21.881</v>
      </c>
      <c r="I146" s="48">
        <f>SUM(I138:I145)</f>
        <v>118.88100000000001</v>
      </c>
      <c r="J146" s="48">
        <f>SUM(J138:J145)</f>
        <v>777.05400000000009</v>
      </c>
      <c r="K146" s="49"/>
      <c r="L146" s="50">
        <f>SUM(L138:L145)</f>
        <v>0</v>
      </c>
      <c r="M146" s="36"/>
    </row>
    <row r="147" spans="1:13" ht="15.75" x14ac:dyDescent="0.25">
      <c r="A147" s="43">
        <f>A130</f>
        <v>2</v>
      </c>
      <c r="B147" s="44">
        <f>B130</f>
        <v>3</v>
      </c>
      <c r="C147" s="144" t="s">
        <v>38</v>
      </c>
      <c r="D147" s="145"/>
      <c r="E147" s="47"/>
      <c r="F147" s="48">
        <f>F137+F146</f>
        <v>1299</v>
      </c>
      <c r="G147" s="48">
        <f>G137+G146</f>
        <v>45.367000000000004</v>
      </c>
      <c r="H147" s="48">
        <f>H137+H146</f>
        <v>42.091000000000001</v>
      </c>
      <c r="I147" s="48">
        <f>I137+I146</f>
        <v>205.011</v>
      </c>
      <c r="J147" s="48">
        <f>J137+J146</f>
        <v>1388.7339999999999</v>
      </c>
      <c r="K147" s="49"/>
      <c r="L147" s="50">
        <f>L137+L146</f>
        <v>0</v>
      </c>
      <c r="M147" s="36"/>
    </row>
    <row r="148" spans="1:13" ht="15.75" x14ac:dyDescent="0.25">
      <c r="A148" s="52">
        <v>2</v>
      </c>
      <c r="B148" s="53">
        <v>4</v>
      </c>
      <c r="C148" s="30" t="s">
        <v>21</v>
      </c>
      <c r="D148" s="30" t="s">
        <v>31</v>
      </c>
      <c r="E148" s="55" t="s">
        <v>55</v>
      </c>
      <c r="F148" s="33">
        <v>110</v>
      </c>
      <c r="G148" s="33">
        <f>F148*8.73/90</f>
        <v>10.67</v>
      </c>
      <c r="H148" s="33">
        <f>F148*12.42/90</f>
        <v>15.18</v>
      </c>
      <c r="I148" s="33">
        <f>F148*1.53/90</f>
        <v>1.87</v>
      </c>
      <c r="J148" s="33">
        <f>F148*152.82/90</f>
        <v>186.78</v>
      </c>
      <c r="K148" s="58" t="s">
        <v>102</v>
      </c>
      <c r="L148" s="35"/>
      <c r="M148" s="36"/>
    </row>
    <row r="149" spans="1:13" ht="15.75" x14ac:dyDescent="0.25">
      <c r="A149" s="28"/>
      <c r="B149" s="29"/>
      <c r="C149" s="30"/>
      <c r="D149" s="73" t="s">
        <v>32</v>
      </c>
      <c r="E149" s="40" t="s">
        <v>33</v>
      </c>
      <c r="F149" s="32">
        <v>160</v>
      </c>
      <c r="G149" s="38">
        <f>F149*5.33/150-0.01</f>
        <v>5.6753333333333336</v>
      </c>
      <c r="H149" s="38">
        <f>F149*3/150</f>
        <v>3.2</v>
      </c>
      <c r="I149" s="38">
        <f>F149*32.4/150</f>
        <v>34.56</v>
      </c>
      <c r="J149" s="38">
        <f>F149*177.75/150</f>
        <v>189.6</v>
      </c>
      <c r="K149" s="34" t="s">
        <v>59</v>
      </c>
      <c r="L149" s="35"/>
      <c r="M149" s="36"/>
    </row>
    <row r="150" spans="1:13" ht="15.75" x14ac:dyDescent="0.25">
      <c r="A150" s="28"/>
      <c r="B150" s="29"/>
      <c r="C150" s="30"/>
      <c r="D150" s="30" t="s">
        <v>23</v>
      </c>
      <c r="E150" s="39" t="s">
        <v>24</v>
      </c>
      <c r="F150" s="39">
        <v>200</v>
      </c>
      <c r="G150" s="39">
        <v>3.1</v>
      </c>
      <c r="H150" s="39">
        <v>3.2</v>
      </c>
      <c r="I150" s="39">
        <v>14.4</v>
      </c>
      <c r="J150" s="39">
        <v>99</v>
      </c>
      <c r="K150" s="34" t="s">
        <v>132</v>
      </c>
      <c r="L150" s="35"/>
      <c r="M150" s="36"/>
    </row>
    <row r="151" spans="1:13" ht="31.5" x14ac:dyDescent="0.25">
      <c r="A151" s="28"/>
      <c r="B151" s="29"/>
      <c r="C151" s="30"/>
      <c r="D151" s="30" t="s">
        <v>35</v>
      </c>
      <c r="E151" s="40" t="s">
        <v>36</v>
      </c>
      <c r="F151" s="38">
        <v>30</v>
      </c>
      <c r="G151" s="38">
        <f>SUM(F151*3.95/50)</f>
        <v>2.37</v>
      </c>
      <c r="H151" s="38">
        <f>SUM(F151*0.5/50)</f>
        <v>0.3</v>
      </c>
      <c r="I151" s="38">
        <f>SUM(F151*24.15/50)</f>
        <v>14.49</v>
      </c>
      <c r="J151" s="38">
        <f>SUM(F151*116.9/50)</f>
        <v>70.14</v>
      </c>
      <c r="K151" s="34" t="s">
        <v>25</v>
      </c>
      <c r="L151" s="35"/>
      <c r="M151" s="36"/>
    </row>
    <row r="152" spans="1:13" ht="31.5" x14ac:dyDescent="0.25">
      <c r="A152" s="28"/>
      <c r="B152" s="29"/>
      <c r="C152" s="30"/>
      <c r="D152" s="30" t="s">
        <v>37</v>
      </c>
      <c r="E152" s="40" t="s">
        <v>141</v>
      </c>
      <c r="F152" s="38">
        <v>30</v>
      </c>
      <c r="G152" s="38">
        <f>SUM(F152*1.68/30)</f>
        <v>1.68</v>
      </c>
      <c r="H152" s="38">
        <f>SUM(F152*0.33/30)</f>
        <v>0.33</v>
      </c>
      <c r="I152" s="38">
        <f>SUM(F152*14.82/30)</f>
        <v>14.82</v>
      </c>
      <c r="J152" s="38">
        <f>SUM(F152*68.97/30)</f>
        <v>68.97</v>
      </c>
      <c r="K152" s="34" t="s">
        <v>39</v>
      </c>
      <c r="L152" s="35"/>
      <c r="M152" s="36"/>
    </row>
    <row r="153" spans="1:13" ht="15.75" x14ac:dyDescent="0.25">
      <c r="A153" s="28"/>
      <c r="B153" s="29"/>
      <c r="C153" s="30"/>
      <c r="D153" s="30"/>
      <c r="E153" s="40"/>
      <c r="F153" s="38"/>
      <c r="G153" s="38"/>
      <c r="H153" s="38"/>
      <c r="I153" s="38"/>
      <c r="J153" s="38"/>
      <c r="K153" s="34"/>
      <c r="L153" s="35"/>
      <c r="M153" s="36"/>
    </row>
    <row r="154" spans="1:13" ht="15.75" x14ac:dyDescent="0.25">
      <c r="A154" s="43"/>
      <c r="B154" s="44"/>
      <c r="C154" s="45"/>
      <c r="D154" s="46" t="s">
        <v>27</v>
      </c>
      <c r="E154" s="47"/>
      <c r="F154" s="48">
        <f t="shared" ref="F154:J154" si="22">SUM(F148:F153)</f>
        <v>530</v>
      </c>
      <c r="G154" s="48">
        <f>SUM(G148:G153)</f>
        <v>23.495333333333335</v>
      </c>
      <c r="H154" s="48">
        <f t="shared" si="22"/>
        <v>22.209999999999997</v>
      </c>
      <c r="I154" s="48">
        <f>SUM(I148:I153)</f>
        <v>80.139999999999986</v>
      </c>
      <c r="J154" s="48">
        <f t="shared" si="22"/>
        <v>614.49</v>
      </c>
      <c r="K154" s="49"/>
      <c r="L154" s="50">
        <f>SUM(L148:L153)</f>
        <v>0</v>
      </c>
      <c r="M154" s="36"/>
    </row>
    <row r="155" spans="1:13" ht="15.75" x14ac:dyDescent="0.25">
      <c r="A155" s="28">
        <v>2</v>
      </c>
      <c r="B155" s="29">
        <v>4</v>
      </c>
      <c r="C155" s="30" t="s">
        <v>28</v>
      </c>
      <c r="D155" s="30" t="s">
        <v>29</v>
      </c>
      <c r="E155" s="106" t="s">
        <v>145</v>
      </c>
      <c r="F155" s="107">
        <v>60</v>
      </c>
      <c r="G155" s="107">
        <f>F155*5.1/100</f>
        <v>3.06</v>
      </c>
      <c r="H155" s="107">
        <f>F155*15.6/100</f>
        <v>9.36</v>
      </c>
      <c r="I155" s="107">
        <f>F155*13.5/100</f>
        <v>8.1</v>
      </c>
      <c r="J155" s="107">
        <f>F155*214.6/100</f>
        <v>128.76</v>
      </c>
      <c r="K155" s="51" t="s">
        <v>94</v>
      </c>
      <c r="L155" s="35"/>
      <c r="M155" s="36"/>
    </row>
    <row r="156" spans="1:13" ht="31.5" x14ac:dyDescent="0.25">
      <c r="A156" s="28"/>
      <c r="B156" s="29"/>
      <c r="C156" s="30"/>
      <c r="D156" s="30" t="s">
        <v>30</v>
      </c>
      <c r="E156" s="55" t="s">
        <v>113</v>
      </c>
      <c r="F156" s="33">
        <v>200</v>
      </c>
      <c r="G156" s="33">
        <f>F156*3.9/200</f>
        <v>3.9</v>
      </c>
      <c r="H156" s="33">
        <f>F156*4.1/200</f>
        <v>4.0999999999999996</v>
      </c>
      <c r="I156" s="33">
        <f>F156*25.32/200</f>
        <v>25.32</v>
      </c>
      <c r="J156" s="33">
        <f>F156*154.4/200</f>
        <v>154.4</v>
      </c>
      <c r="K156" s="51" t="s">
        <v>53</v>
      </c>
      <c r="L156" s="35"/>
      <c r="M156" s="36"/>
    </row>
    <row r="157" spans="1:13" ht="15.75" x14ac:dyDescent="0.25">
      <c r="A157" s="28"/>
      <c r="B157" s="29"/>
      <c r="C157" s="30"/>
      <c r="D157" s="30" t="s">
        <v>31</v>
      </c>
      <c r="E157" s="70" t="s">
        <v>153</v>
      </c>
      <c r="F157" s="39">
        <v>220</v>
      </c>
      <c r="G157" s="39">
        <f>19.3*F157/150</f>
        <v>28.306666666666668</v>
      </c>
      <c r="H157" s="39">
        <f>11.2*F157/150</f>
        <v>16.426666666666666</v>
      </c>
      <c r="I157" s="39">
        <f>16.1*F157/150</f>
        <v>23.613333333333337</v>
      </c>
      <c r="J157" s="39">
        <f>308.23*F157/150</f>
        <v>452.07066666666668</v>
      </c>
      <c r="K157" s="51" t="s">
        <v>140</v>
      </c>
      <c r="L157" s="35"/>
      <c r="M157" s="36"/>
    </row>
    <row r="158" spans="1:13" ht="15.75" x14ac:dyDescent="0.25">
      <c r="A158" s="28"/>
      <c r="B158" s="29"/>
      <c r="C158" s="30"/>
      <c r="D158" s="30" t="s">
        <v>76</v>
      </c>
      <c r="E158" s="55" t="s">
        <v>99</v>
      </c>
      <c r="F158" s="33">
        <v>200</v>
      </c>
      <c r="G158" s="33">
        <v>0.7</v>
      </c>
      <c r="H158" s="33">
        <v>0</v>
      </c>
      <c r="I158" s="33">
        <v>21.1</v>
      </c>
      <c r="J158" s="33">
        <v>88</v>
      </c>
      <c r="K158" s="51" t="s">
        <v>101</v>
      </c>
      <c r="L158" s="35"/>
      <c r="M158" s="36"/>
    </row>
    <row r="159" spans="1:13" ht="31.5" x14ac:dyDescent="0.25">
      <c r="A159" s="28"/>
      <c r="B159" s="29"/>
      <c r="C159" s="30"/>
      <c r="D159" s="30" t="s">
        <v>35</v>
      </c>
      <c r="E159" s="40" t="s">
        <v>36</v>
      </c>
      <c r="F159" s="38">
        <v>40</v>
      </c>
      <c r="G159" s="38">
        <f>SUM(F159*2.37/30)</f>
        <v>3.1600000000000006</v>
      </c>
      <c r="H159" s="38">
        <f>SUM(F159*0.3/30)</f>
        <v>0.4</v>
      </c>
      <c r="I159" s="38">
        <f>SUM(F159*14.49/30)</f>
        <v>19.32</v>
      </c>
      <c r="J159" s="38">
        <f>SUM(F159*70.14/30)</f>
        <v>93.52</v>
      </c>
      <c r="K159" s="51" t="s">
        <v>25</v>
      </c>
      <c r="L159" s="35"/>
      <c r="M159" s="36"/>
    </row>
    <row r="160" spans="1:13" ht="31.5" x14ac:dyDescent="0.25">
      <c r="A160" s="28"/>
      <c r="B160" s="29"/>
      <c r="C160" s="30"/>
      <c r="D160" s="30" t="s">
        <v>37</v>
      </c>
      <c r="E160" s="31" t="s">
        <v>141</v>
      </c>
      <c r="F160" s="38">
        <v>30</v>
      </c>
      <c r="G160" s="38">
        <f>SUM(F160*1.68/30)</f>
        <v>1.68</v>
      </c>
      <c r="H160" s="38">
        <f>SUM(F160*0.33/30)</f>
        <v>0.33</v>
      </c>
      <c r="I160" s="38">
        <f>SUM(F160*14.82/30)</f>
        <v>14.82</v>
      </c>
      <c r="J160" s="38">
        <f>SUM(F160*68.97/30)</f>
        <v>68.97</v>
      </c>
      <c r="K160" s="51" t="s">
        <v>39</v>
      </c>
      <c r="L160" s="35"/>
      <c r="M160" s="36"/>
    </row>
    <row r="161" spans="1:13" ht="15.75" x14ac:dyDescent="0.25">
      <c r="A161" s="28"/>
      <c r="B161" s="29"/>
      <c r="C161" s="30"/>
      <c r="D161" s="37"/>
      <c r="E161" s="41"/>
      <c r="F161" s="69"/>
      <c r="G161" s="69"/>
      <c r="H161" s="69"/>
      <c r="I161" s="69"/>
      <c r="J161" s="69"/>
      <c r="K161" s="34"/>
      <c r="L161" s="35"/>
      <c r="M161" s="36"/>
    </row>
    <row r="162" spans="1:13" ht="15.75" x14ac:dyDescent="0.25">
      <c r="A162" s="28"/>
      <c r="B162" s="29"/>
      <c r="C162" s="30"/>
      <c r="D162" s="37"/>
      <c r="E162" s="41"/>
      <c r="F162" s="64"/>
      <c r="G162" s="64"/>
      <c r="H162" s="64"/>
      <c r="I162" s="64"/>
      <c r="J162" s="64"/>
      <c r="K162" s="34"/>
      <c r="L162" s="35"/>
      <c r="M162" s="36"/>
    </row>
    <row r="163" spans="1:13" ht="15.75" x14ac:dyDescent="0.25">
      <c r="A163" s="43"/>
      <c r="B163" s="44"/>
      <c r="C163" s="45"/>
      <c r="D163" s="46" t="s">
        <v>27</v>
      </c>
      <c r="E163" s="47"/>
      <c r="F163" s="48">
        <f>SUM(F155:F162)</f>
        <v>750</v>
      </c>
      <c r="G163" s="48">
        <f>SUM(G155:G162)</f>
        <v>40.806666666666672</v>
      </c>
      <c r="H163" s="48">
        <f>SUM(H155:H162)</f>
        <v>30.61666666666666</v>
      </c>
      <c r="I163" s="48">
        <f>SUM(I155:I162)</f>
        <v>112.27333333333334</v>
      </c>
      <c r="J163" s="48">
        <f>SUM(J155:J162)</f>
        <v>985.7206666666666</v>
      </c>
      <c r="K163" s="49"/>
      <c r="L163" s="50">
        <f>SUM(L155:L162)</f>
        <v>0</v>
      </c>
      <c r="M163" s="36"/>
    </row>
    <row r="164" spans="1:13" ht="15.75" x14ac:dyDescent="0.25">
      <c r="A164" s="43">
        <v>2</v>
      </c>
      <c r="B164" s="44">
        <v>4</v>
      </c>
      <c r="C164" s="144" t="s">
        <v>38</v>
      </c>
      <c r="D164" s="145"/>
      <c r="E164" s="47"/>
      <c r="F164" s="48">
        <f>F154+F163</f>
        <v>1280</v>
      </c>
      <c r="G164" s="48">
        <f>G154+G163-0.01</f>
        <v>64.292000000000002</v>
      </c>
      <c r="H164" s="48">
        <f>H154+H163</f>
        <v>52.826666666666654</v>
      </c>
      <c r="I164" s="48">
        <f>I154+I163</f>
        <v>192.41333333333333</v>
      </c>
      <c r="J164" s="48">
        <f>J154+J163</f>
        <v>1600.2106666666666</v>
      </c>
      <c r="K164" s="49"/>
      <c r="L164" s="50">
        <f>L154+L163</f>
        <v>0</v>
      </c>
      <c r="M164" s="36"/>
    </row>
    <row r="165" spans="1:13" ht="15.75" x14ac:dyDescent="0.25">
      <c r="A165" s="28">
        <v>2</v>
      </c>
      <c r="B165" s="29">
        <v>5</v>
      </c>
      <c r="C165" s="30" t="s">
        <v>21</v>
      </c>
      <c r="D165" s="30" t="s">
        <v>32</v>
      </c>
      <c r="E165" s="55" t="s">
        <v>105</v>
      </c>
      <c r="F165" s="38">
        <v>150</v>
      </c>
      <c r="G165" s="38">
        <f>F165*3.25/150</f>
        <v>3.25</v>
      </c>
      <c r="H165" s="38">
        <f>F165*2.8/150</f>
        <v>2.8</v>
      </c>
      <c r="I165" s="38">
        <f>F165*11.9/150</f>
        <v>11.9</v>
      </c>
      <c r="J165" s="38">
        <f>F165*87/150</f>
        <v>87</v>
      </c>
      <c r="K165" s="58">
        <v>44533</v>
      </c>
      <c r="L165" s="101"/>
      <c r="M165" s="36"/>
    </row>
    <row r="166" spans="1:13" ht="15.75" x14ac:dyDescent="0.25">
      <c r="A166" s="28"/>
      <c r="B166" s="29"/>
      <c r="C166" s="30"/>
      <c r="D166" s="30" t="s">
        <v>31</v>
      </c>
      <c r="E166" s="31" t="s">
        <v>160</v>
      </c>
      <c r="F166" s="38">
        <v>95</v>
      </c>
      <c r="G166" s="38">
        <f>F166*11.61/90</f>
        <v>12.255000000000001</v>
      </c>
      <c r="H166" s="38">
        <f>F166*12.06/90</f>
        <v>12.73</v>
      </c>
      <c r="I166" s="38">
        <f>F166*13.14/90</f>
        <v>13.87</v>
      </c>
      <c r="J166" s="38">
        <f>F166*207.54/90</f>
        <v>219.07</v>
      </c>
      <c r="K166" s="34" t="s">
        <v>128</v>
      </c>
      <c r="L166" s="101"/>
      <c r="M166" s="36"/>
    </row>
    <row r="167" spans="1:13" ht="15.75" x14ac:dyDescent="0.25">
      <c r="A167" s="28"/>
      <c r="B167" s="29"/>
      <c r="C167" s="30"/>
      <c r="D167" s="71" t="s">
        <v>23</v>
      </c>
      <c r="E167" s="74" t="s">
        <v>154</v>
      </c>
      <c r="F167" s="68">
        <v>200</v>
      </c>
      <c r="G167" s="68">
        <f>F167*0.3/200</f>
        <v>0.3</v>
      </c>
      <c r="H167" s="68">
        <f>F167*0.1/200</f>
        <v>0.1</v>
      </c>
      <c r="I167" s="68">
        <f>F167*9.8/200</f>
        <v>9.8000000000000007</v>
      </c>
      <c r="J167" s="68">
        <f>F167*39/200</f>
        <v>39</v>
      </c>
      <c r="K167" s="58" t="s">
        <v>111</v>
      </c>
      <c r="L167" s="101"/>
      <c r="M167" s="36"/>
    </row>
    <row r="168" spans="1:13" ht="15.75" x14ac:dyDescent="0.25">
      <c r="A168" s="28"/>
      <c r="B168" s="29"/>
      <c r="C168" s="30"/>
      <c r="D168" s="71" t="s">
        <v>35</v>
      </c>
      <c r="E168" s="31" t="s">
        <v>26</v>
      </c>
      <c r="F168" s="32">
        <v>37</v>
      </c>
      <c r="G168" s="32">
        <f>F168*6.1/50</f>
        <v>4.5139999999999993</v>
      </c>
      <c r="H168" s="32">
        <f>F168*3.7/50</f>
        <v>2.738</v>
      </c>
      <c r="I168" s="32">
        <f>17.5*F168/50</f>
        <v>12.95</v>
      </c>
      <c r="J168" s="32">
        <f>F168*127.7/50</f>
        <v>94.498000000000005</v>
      </c>
      <c r="K168" s="34" t="s">
        <v>80</v>
      </c>
      <c r="L168" s="101"/>
      <c r="M168" s="36"/>
    </row>
    <row r="169" spans="1:13" ht="31.5" x14ac:dyDescent="0.25">
      <c r="A169" s="28"/>
      <c r="B169" s="29"/>
      <c r="C169" s="30"/>
      <c r="D169" s="30" t="s">
        <v>37</v>
      </c>
      <c r="E169" s="40" t="s">
        <v>141</v>
      </c>
      <c r="F169" s="38">
        <v>30</v>
      </c>
      <c r="G169" s="38">
        <f>SUM(F169*2.8/50)</f>
        <v>1.68</v>
      </c>
      <c r="H169" s="38">
        <f>SUM(F169*0.55/50)</f>
        <v>0.33</v>
      </c>
      <c r="I169" s="38">
        <f>SUM(F169*24.7/50)</f>
        <v>14.82</v>
      </c>
      <c r="J169" s="38">
        <f>SUM(F169*114.95/50)</f>
        <v>68.97</v>
      </c>
      <c r="K169" s="58" t="s">
        <v>39</v>
      </c>
      <c r="L169" s="76"/>
      <c r="M169" s="36"/>
    </row>
    <row r="170" spans="1:13" ht="15.75" x14ac:dyDescent="0.25">
      <c r="A170" s="28"/>
      <c r="B170" s="29"/>
      <c r="C170" s="30"/>
      <c r="D170" s="37"/>
      <c r="E170" s="80"/>
      <c r="F170" s="96"/>
      <c r="G170" s="96"/>
      <c r="H170" s="96"/>
      <c r="I170" s="96"/>
      <c r="J170" s="96"/>
      <c r="K170" s="34"/>
      <c r="L170" s="35"/>
      <c r="M170" s="36"/>
    </row>
    <row r="171" spans="1:13" ht="15.75" x14ac:dyDescent="0.25">
      <c r="A171" s="43"/>
      <c r="B171" s="44"/>
      <c r="C171" s="45"/>
      <c r="D171" s="46" t="s">
        <v>27</v>
      </c>
      <c r="E171" s="47"/>
      <c r="F171" s="48">
        <f>SUM(F165:F170)</f>
        <v>512</v>
      </c>
      <c r="G171" s="48">
        <f>SUM(G165:G170)</f>
        <v>21.999000000000002</v>
      </c>
      <c r="H171" s="48">
        <f>SUM(H165:H170)</f>
        <v>18.698</v>
      </c>
      <c r="I171" s="48">
        <f>SUM(I165:I170)</f>
        <v>63.339999999999996</v>
      </c>
      <c r="J171" s="48">
        <f>SUM(J165:J170)</f>
        <v>508.53800000000001</v>
      </c>
      <c r="K171" s="49"/>
      <c r="L171" s="50">
        <f>SUM(L165:L170)</f>
        <v>0</v>
      </c>
      <c r="M171" s="36"/>
    </row>
    <row r="172" spans="1:13" ht="31.5" x14ac:dyDescent="0.25">
      <c r="A172" s="28">
        <v>2</v>
      </c>
      <c r="B172" s="29">
        <v>5</v>
      </c>
      <c r="C172" s="30" t="s">
        <v>28</v>
      </c>
      <c r="D172" s="30" t="s">
        <v>29</v>
      </c>
      <c r="E172" s="55" t="s">
        <v>103</v>
      </c>
      <c r="F172" s="33">
        <v>60</v>
      </c>
      <c r="G172" s="33">
        <f>F172*2.16/60</f>
        <v>2.1600000000000006</v>
      </c>
      <c r="H172" s="33">
        <f>F172*4.5/60</f>
        <v>4.5</v>
      </c>
      <c r="I172" s="33">
        <f>F172*9.9/60</f>
        <v>9.9</v>
      </c>
      <c r="J172" s="33">
        <f>F172*88.8/60</f>
        <v>88.8</v>
      </c>
      <c r="K172" s="58" t="s">
        <v>104</v>
      </c>
      <c r="L172" s="35"/>
      <c r="M172" s="36"/>
    </row>
    <row r="173" spans="1:13" ht="31.5" x14ac:dyDescent="0.25">
      <c r="A173" s="28"/>
      <c r="B173" s="29"/>
      <c r="C173" s="30"/>
      <c r="D173" s="30" t="s">
        <v>30</v>
      </c>
      <c r="E173" s="80" t="s">
        <v>124</v>
      </c>
      <c r="F173" s="108">
        <v>200</v>
      </c>
      <c r="G173" s="108">
        <f>F173*3.76/200</f>
        <v>3.76</v>
      </c>
      <c r="H173" s="108">
        <f>F173*6.41/200</f>
        <v>6.41</v>
      </c>
      <c r="I173" s="108">
        <f>F173*11.19/200</f>
        <v>11.19</v>
      </c>
      <c r="J173" s="108">
        <f>F173*117.6/200</f>
        <v>117.6</v>
      </c>
      <c r="K173" s="58" t="s">
        <v>60</v>
      </c>
      <c r="L173" s="35"/>
      <c r="M173" s="36"/>
    </row>
    <row r="174" spans="1:13" ht="15.75" x14ac:dyDescent="0.25">
      <c r="A174" s="28"/>
      <c r="B174" s="29"/>
      <c r="C174" s="30"/>
      <c r="D174" s="30" t="s">
        <v>31</v>
      </c>
      <c r="E174" s="40" t="s">
        <v>61</v>
      </c>
      <c r="F174" s="32">
        <v>100</v>
      </c>
      <c r="G174" s="38">
        <f>F174*11.7/90</f>
        <v>13</v>
      </c>
      <c r="H174" s="38">
        <f>F174*11.61/90</f>
        <v>12.9</v>
      </c>
      <c r="I174" s="38">
        <f>F174*5.76/90</f>
        <v>6.4</v>
      </c>
      <c r="J174" s="38">
        <f>F174*174.6/90</f>
        <v>194</v>
      </c>
      <c r="K174" s="87" t="s">
        <v>70</v>
      </c>
      <c r="L174" s="35"/>
      <c r="M174" s="36"/>
    </row>
    <row r="175" spans="1:13" ht="15.75" x14ac:dyDescent="0.25">
      <c r="A175" s="28"/>
      <c r="B175" s="29"/>
      <c r="C175" s="30"/>
      <c r="D175" s="30" t="s">
        <v>32</v>
      </c>
      <c r="E175" s="80" t="s">
        <v>62</v>
      </c>
      <c r="F175" s="108">
        <v>150</v>
      </c>
      <c r="G175" s="108">
        <f>F175*2.48/150</f>
        <v>2.48</v>
      </c>
      <c r="H175" s="108">
        <f>F175*3.98/150</f>
        <v>3.98</v>
      </c>
      <c r="I175" s="108">
        <f>F175*24.6/150</f>
        <v>24.6</v>
      </c>
      <c r="J175" s="108">
        <f>F175*144/150</f>
        <v>144</v>
      </c>
      <c r="K175" s="58" t="s">
        <v>63</v>
      </c>
      <c r="L175" s="35"/>
      <c r="M175" s="36"/>
    </row>
    <row r="176" spans="1:13" ht="15.75" x14ac:dyDescent="0.25">
      <c r="A176" s="28"/>
      <c r="B176" s="29"/>
      <c r="C176" s="30"/>
      <c r="D176" s="30" t="s">
        <v>76</v>
      </c>
      <c r="E176" s="40" t="s">
        <v>42</v>
      </c>
      <c r="F176" s="108">
        <v>200</v>
      </c>
      <c r="G176" s="108">
        <v>1</v>
      </c>
      <c r="H176" s="108">
        <v>0.1</v>
      </c>
      <c r="I176" s="108">
        <v>19.8</v>
      </c>
      <c r="J176" s="108">
        <v>84</v>
      </c>
      <c r="K176" s="58" t="s">
        <v>64</v>
      </c>
      <c r="L176" s="35"/>
      <c r="M176" s="36"/>
    </row>
    <row r="177" spans="1:13" ht="31.5" x14ac:dyDescent="0.25">
      <c r="A177" s="28"/>
      <c r="B177" s="29"/>
      <c r="C177" s="30"/>
      <c r="D177" s="30" t="s">
        <v>35</v>
      </c>
      <c r="E177" s="40" t="s">
        <v>36</v>
      </c>
      <c r="F177" s="38">
        <v>50</v>
      </c>
      <c r="G177" s="38">
        <f>SUM(F177*2.37/30)</f>
        <v>3.95</v>
      </c>
      <c r="H177" s="38">
        <f>SUM(F177*0.3/30)</f>
        <v>0.5</v>
      </c>
      <c r="I177" s="38">
        <f>SUM(F177*14.49/30)</f>
        <v>24.15</v>
      </c>
      <c r="J177" s="38">
        <f>SUM(F177*70.14/30)</f>
        <v>116.9</v>
      </c>
      <c r="K177" s="58" t="s">
        <v>25</v>
      </c>
      <c r="L177" s="35"/>
      <c r="M177" s="36"/>
    </row>
    <row r="178" spans="1:13" ht="31.5" x14ac:dyDescent="0.25">
      <c r="A178" s="28"/>
      <c r="B178" s="29"/>
      <c r="C178" s="30"/>
      <c r="D178" s="30" t="s">
        <v>37</v>
      </c>
      <c r="E178" s="40" t="s">
        <v>141</v>
      </c>
      <c r="F178" s="38">
        <v>36</v>
      </c>
      <c r="G178" s="38">
        <f>SUM(F178*1.68/30)</f>
        <v>2.016</v>
      </c>
      <c r="H178" s="38">
        <f>SUM(F178*0.33/30)</f>
        <v>0.39600000000000002</v>
      </c>
      <c r="I178" s="38">
        <f>SUM(F178*14.82/30)</f>
        <v>17.783999999999999</v>
      </c>
      <c r="J178" s="38">
        <f>SUM(F178*68.97/30)</f>
        <v>82.763999999999996</v>
      </c>
      <c r="K178" s="58" t="s">
        <v>39</v>
      </c>
      <c r="L178" s="35"/>
      <c r="M178" s="36"/>
    </row>
    <row r="179" spans="1:13" ht="15.75" x14ac:dyDescent="0.25">
      <c r="A179" s="28"/>
      <c r="B179" s="29"/>
      <c r="C179" s="30"/>
      <c r="D179" s="37"/>
      <c r="E179" s="41"/>
      <c r="F179" s="64"/>
      <c r="G179" s="64"/>
      <c r="H179" s="64"/>
      <c r="I179" s="64"/>
      <c r="J179" s="64"/>
      <c r="K179" s="34"/>
      <c r="L179" s="35"/>
      <c r="M179" s="36"/>
    </row>
    <row r="180" spans="1:13" ht="15.75" x14ac:dyDescent="0.25">
      <c r="A180" s="28"/>
      <c r="B180" s="29"/>
      <c r="C180" s="30"/>
      <c r="D180" s="37"/>
      <c r="E180" s="41"/>
      <c r="F180" s="64"/>
      <c r="G180" s="64"/>
      <c r="H180" s="64"/>
      <c r="I180" s="64"/>
      <c r="J180" s="64"/>
      <c r="K180" s="34"/>
      <c r="L180" s="35"/>
      <c r="M180" s="36"/>
    </row>
    <row r="181" spans="1:13" ht="15.75" x14ac:dyDescent="0.25">
      <c r="A181" s="43"/>
      <c r="B181" s="44"/>
      <c r="C181" s="45"/>
      <c r="D181" s="46" t="s">
        <v>27</v>
      </c>
      <c r="E181" s="47"/>
      <c r="F181" s="48">
        <f>SUM(F172:F180)</f>
        <v>796</v>
      </c>
      <c r="G181" s="48">
        <f>SUM(G172:G180)-0.01</f>
        <v>28.355999999999998</v>
      </c>
      <c r="H181" s="48">
        <f>SUM(H172:H180)</f>
        <v>28.786000000000005</v>
      </c>
      <c r="I181" s="48">
        <f>SUM(I172:I180)</f>
        <v>113.82399999999998</v>
      </c>
      <c r="J181" s="48">
        <f>SUM(J172:J180)</f>
        <v>828.06399999999996</v>
      </c>
      <c r="K181" s="49"/>
      <c r="L181" s="50">
        <f>SUM(L172:L180)</f>
        <v>0</v>
      </c>
      <c r="M181" s="36"/>
    </row>
    <row r="182" spans="1:13" ht="15.75" x14ac:dyDescent="0.25">
      <c r="A182" s="109">
        <v>2</v>
      </c>
      <c r="B182" s="110">
        <v>5</v>
      </c>
      <c r="C182" s="141" t="s">
        <v>38</v>
      </c>
      <c r="D182" s="142"/>
      <c r="E182" s="47"/>
      <c r="F182" s="48">
        <f>F171+F181</f>
        <v>1308</v>
      </c>
      <c r="G182" s="48">
        <f>G171+G181</f>
        <v>50.355000000000004</v>
      </c>
      <c r="H182" s="48">
        <f>H171+H181</f>
        <v>47.484000000000009</v>
      </c>
      <c r="I182" s="48">
        <f>I171+I181+0.01</f>
        <v>177.17399999999998</v>
      </c>
      <c r="J182" s="48">
        <f>J171+J181</f>
        <v>1336.6019999999999</v>
      </c>
      <c r="K182" s="49"/>
      <c r="L182" s="50">
        <f>L171+L181</f>
        <v>0</v>
      </c>
      <c r="M182" s="36"/>
    </row>
    <row r="183" spans="1:13" ht="15.75" x14ac:dyDescent="0.25">
      <c r="A183" s="111"/>
      <c r="B183" s="112"/>
      <c r="C183" s="143" t="s">
        <v>65</v>
      </c>
      <c r="D183" s="143"/>
      <c r="E183" s="143"/>
      <c r="F183" s="113">
        <f>(F23+F41+F59+F78+F94+F111+F129+F147+F164+F182)/(IF(F23=0,0,1)+IF(F41=0,0,1)+IF(F59=0,0,1)+IF(F78=0,0,1)+IF(F94=0,0,1)+IF(F111=0,0,1)+IF(F129=0,0,1)+IF(F147=0,0,1)+IF(F164=0,0,1)+IF(F182=0,0,1))</f>
        <v>1324.2</v>
      </c>
      <c r="G183" s="113">
        <f>(G23+G41+G59+G78+G94+G111+G129+G147+G164+G182)/(IF(G23=0,0,1)+IF(G41=0,0,1)+IF(G59=0,0,1)+IF(G78=0,0,1)+IF(G94=0,0,1)+IF(G111=0,0,1)+IF(G129=0,0,1)+IF(G147=0,0,1)+IF(G164=0,0,1)+IF(G182=0,0,1))</f>
        <v>55.860050000000001</v>
      </c>
      <c r="H183" s="113">
        <f>(H23+H41+H59+H78+H94+H111+H129+H147+H164+H182)/(IF(H23=0,0,1)+IF(H41=0,0,1)+IF(H59=0,0,1)+IF(H78=0,0,1)+IF(H94=0,0,1)+IF(H111=0,0,1)+IF(H129=0,0,1)+IF(H147=0,0,1)+IF(H164=0,0,1)+IF(H182=0,0,1))</f>
        <v>50.249856666666666</v>
      </c>
      <c r="I183" s="113">
        <f>(I23+I41+I59+I78+I94+I111+I129+I147+I164+I182)/(IF(I23=0,0,1)+IF(I41=0,0,1)+IF(I59=0,0,1)+IF(I78=0,0,1)+IF(I94=0,0,1)+IF(I111=0,0,1)+IF(I129=0,0,1)+IF(I147=0,0,1)+IF(I164=0,0,1)+IF(I182=0,0,1))</f>
        <v>204.03257333333335</v>
      </c>
      <c r="J183" s="113">
        <f>(J23+J41+J59+J78+J94+J111+J129+J147+J164+J182)/(IF(J23=0,0,1)+IF(J41=0,0,1)+IF(J59=0,0,1)+IF(J78=0,0,1)+IF(J94=0,0,1)+IF(J111=0,0,1)+IF(J129=0,0,1)+IF(J147=0,0,1)+IF(J164=0,0,1)+IF(J182=0,0,1))</f>
        <v>1500.8444166666663</v>
      </c>
      <c r="K183" s="114"/>
      <c r="L183" s="115">
        <v>0</v>
      </c>
      <c r="M183" s="36"/>
    </row>
    <row r="184" spans="1:13" x14ac:dyDescent="0.25">
      <c r="C184" s="116"/>
      <c r="D184" s="116"/>
      <c r="E184" s="117"/>
      <c r="F184" s="36"/>
      <c r="G184" s="36"/>
      <c r="H184" s="36"/>
      <c r="I184" s="36"/>
      <c r="J184" s="36"/>
      <c r="K184" s="118"/>
      <c r="L184" s="119"/>
      <c r="M184" s="36"/>
    </row>
    <row r="185" spans="1:13" x14ac:dyDescent="0.25">
      <c r="C185" s="116"/>
      <c r="D185" s="116"/>
      <c r="E185" s="117"/>
      <c r="F185" s="36"/>
      <c r="G185" s="36"/>
      <c r="H185" s="36"/>
      <c r="I185" s="36"/>
      <c r="J185" s="36"/>
      <c r="K185" s="118"/>
      <c r="L185" s="119"/>
      <c r="M185" s="36"/>
    </row>
    <row r="186" spans="1:13" x14ac:dyDescent="0.25">
      <c r="C186" s="116"/>
      <c r="D186" s="116"/>
      <c r="E186" s="117"/>
      <c r="F186" s="36"/>
      <c r="G186" s="36"/>
      <c r="H186" s="36"/>
      <c r="I186" s="36"/>
      <c r="J186" s="36"/>
      <c r="K186" s="118"/>
      <c r="L186" s="119"/>
      <c r="M186" s="36"/>
    </row>
    <row r="187" spans="1:13" x14ac:dyDescent="0.25">
      <c r="C187" s="116"/>
      <c r="D187" s="116"/>
      <c r="E187" s="117"/>
      <c r="F187" s="36"/>
      <c r="G187" s="36"/>
      <c r="H187" s="36"/>
      <c r="I187" s="36"/>
      <c r="J187" s="36"/>
      <c r="K187" s="118"/>
      <c r="L187" s="119"/>
      <c r="M187" s="36"/>
    </row>
    <row r="188" spans="1:13" x14ac:dyDescent="0.25">
      <c r="C188" s="116"/>
      <c r="D188" s="116"/>
      <c r="E188" s="117"/>
      <c r="F188" s="36"/>
      <c r="G188" s="36"/>
      <c r="H188" s="36"/>
      <c r="I188" s="36"/>
      <c r="J188" s="36"/>
      <c r="K188" s="118"/>
      <c r="L188" s="119"/>
      <c r="M188" s="36"/>
    </row>
    <row r="189" spans="1:13" x14ac:dyDescent="0.25">
      <c r="C189" s="116"/>
      <c r="D189" s="116"/>
      <c r="E189" s="117"/>
      <c r="F189" s="36"/>
      <c r="G189" s="36"/>
      <c r="H189" s="36"/>
      <c r="I189" s="36"/>
      <c r="J189" s="36"/>
      <c r="K189" s="118"/>
      <c r="L189" s="119"/>
      <c r="M189" s="36"/>
    </row>
    <row r="190" spans="1:13" x14ac:dyDescent="0.25">
      <c r="C190" s="116"/>
      <c r="D190" s="116"/>
      <c r="E190" s="117"/>
      <c r="F190" s="36"/>
      <c r="G190" s="36"/>
      <c r="H190" s="36"/>
      <c r="I190" s="36"/>
      <c r="J190" s="36"/>
      <c r="K190" s="118"/>
      <c r="L190" s="119"/>
      <c r="M190" s="36"/>
    </row>
    <row r="191" spans="1:13" x14ac:dyDescent="0.25">
      <c r="C191" s="116"/>
      <c r="D191" s="116"/>
      <c r="E191" s="117"/>
      <c r="F191" s="36"/>
      <c r="G191" s="36"/>
      <c r="H191" s="36"/>
      <c r="I191" s="36"/>
      <c r="J191" s="36"/>
      <c r="K191" s="118"/>
      <c r="L191" s="119"/>
      <c r="M191" s="36"/>
    </row>
    <row r="192" spans="1:13" x14ac:dyDescent="0.25">
      <c r="C192" s="116"/>
      <c r="D192" s="116"/>
      <c r="E192" s="117"/>
      <c r="F192" s="36"/>
      <c r="G192" s="36"/>
      <c r="H192" s="36"/>
      <c r="I192" s="36"/>
      <c r="J192" s="36"/>
      <c r="K192" s="118"/>
      <c r="L192" s="119"/>
      <c r="M192" s="36"/>
    </row>
    <row r="193" spans="3:13" x14ac:dyDescent="0.25">
      <c r="C193" s="116"/>
      <c r="D193" s="116"/>
      <c r="E193" s="117"/>
      <c r="F193" s="36"/>
      <c r="G193" s="36"/>
      <c r="H193" s="36"/>
      <c r="I193" s="36"/>
      <c r="J193" s="36"/>
      <c r="K193" s="118"/>
      <c r="L193" s="119"/>
      <c r="M193" s="120"/>
    </row>
    <row r="194" spans="3:13" ht="15.75" x14ac:dyDescent="0.25">
      <c r="C194" s="116"/>
      <c r="D194" s="116"/>
      <c r="E194" s="121"/>
      <c r="F194" s="120"/>
      <c r="G194" s="120"/>
      <c r="H194" s="120"/>
      <c r="I194" s="120"/>
      <c r="J194" s="120"/>
      <c r="K194" s="122"/>
      <c r="L194" s="123"/>
      <c r="M194" s="124"/>
    </row>
    <row r="195" spans="3:13" ht="15.75" x14ac:dyDescent="0.25">
      <c r="C195" s="116"/>
      <c r="D195" s="116"/>
      <c r="E195" s="125"/>
      <c r="F195" s="126"/>
      <c r="G195" s="127"/>
      <c r="H195" s="127"/>
      <c r="I195" s="127"/>
      <c r="J195" s="127"/>
      <c r="K195" s="128"/>
      <c r="L195" s="124"/>
      <c r="M195" s="124"/>
    </row>
    <row r="196" spans="3:13" ht="15.75" x14ac:dyDescent="0.25">
      <c r="C196" s="116"/>
      <c r="D196" s="116"/>
      <c r="E196" s="129"/>
      <c r="F196" s="130"/>
      <c r="G196" s="127"/>
      <c r="H196" s="127"/>
      <c r="I196" s="127"/>
      <c r="J196" s="127"/>
      <c r="K196" s="128"/>
      <c r="L196" s="124"/>
      <c r="M196" s="120"/>
    </row>
    <row r="197" spans="3:13" ht="15.75" x14ac:dyDescent="0.25">
      <c r="C197" s="116"/>
      <c r="D197" s="116"/>
      <c r="E197" s="131"/>
      <c r="F197" s="127"/>
      <c r="G197" s="127"/>
      <c r="H197" s="127"/>
      <c r="I197" s="127"/>
      <c r="J197" s="127"/>
      <c r="K197" s="128"/>
      <c r="L197" s="123"/>
      <c r="M197" s="120"/>
    </row>
    <row r="198" spans="3:13" ht="15.75" x14ac:dyDescent="0.25">
      <c r="C198" s="116"/>
      <c r="D198" s="116"/>
      <c r="E198" s="131"/>
      <c r="F198" s="127"/>
      <c r="G198" s="127"/>
      <c r="H198" s="127"/>
      <c r="I198" s="127"/>
      <c r="J198" s="127"/>
      <c r="K198" s="128"/>
      <c r="L198" s="123"/>
      <c r="M198" s="120"/>
    </row>
    <row r="199" spans="3:13" ht="15.75" x14ac:dyDescent="0.25">
      <c r="C199" s="116"/>
      <c r="D199" s="116"/>
      <c r="E199" s="131"/>
      <c r="F199" s="127"/>
      <c r="G199" s="127"/>
      <c r="H199" s="127"/>
      <c r="I199" s="127"/>
      <c r="J199" s="127"/>
      <c r="K199" s="128"/>
      <c r="L199" s="123"/>
      <c r="M199" s="120"/>
    </row>
    <row r="200" spans="3:13" ht="15.75" x14ac:dyDescent="0.25">
      <c r="C200" s="116"/>
      <c r="D200" s="116"/>
      <c r="E200" s="131"/>
      <c r="F200" s="127"/>
      <c r="G200" s="127"/>
      <c r="H200" s="127"/>
      <c r="I200" s="127"/>
      <c r="J200" s="127"/>
      <c r="K200" s="128"/>
      <c r="L200" s="123"/>
      <c r="M200" s="120"/>
    </row>
    <row r="201" spans="3:13" ht="15.75" x14ac:dyDescent="0.25">
      <c r="C201" s="116"/>
      <c r="D201" s="116"/>
      <c r="E201" s="125"/>
      <c r="F201" s="132"/>
      <c r="G201" s="127"/>
      <c r="H201" s="127"/>
      <c r="I201" s="127"/>
      <c r="J201" s="127"/>
      <c r="K201" s="122"/>
      <c r="L201" s="123"/>
      <c r="M201" s="120"/>
    </row>
    <row r="202" spans="3:13" ht="15.75" x14ac:dyDescent="0.25">
      <c r="C202" s="116"/>
      <c r="D202" s="116"/>
      <c r="E202" s="131"/>
      <c r="F202" s="127"/>
      <c r="G202" s="127"/>
      <c r="H202" s="127"/>
      <c r="I202" s="127"/>
      <c r="J202" s="127"/>
      <c r="K202" s="133"/>
      <c r="L202" s="123"/>
      <c r="M202" s="120"/>
    </row>
    <row r="203" spans="3:13" ht="15.75" x14ac:dyDescent="0.25">
      <c r="C203" s="116"/>
      <c r="D203" s="116"/>
      <c r="E203" s="131"/>
      <c r="F203" s="127"/>
      <c r="G203" s="127"/>
      <c r="H203" s="127"/>
      <c r="I203" s="127"/>
      <c r="J203" s="127"/>
      <c r="K203" s="133"/>
      <c r="L203" s="123"/>
      <c r="M203" s="120"/>
    </row>
    <row r="204" spans="3:13" ht="15.75" x14ac:dyDescent="0.25">
      <c r="C204" s="116"/>
      <c r="D204" s="116"/>
      <c r="E204" s="131"/>
      <c r="F204" s="127"/>
      <c r="G204" s="127"/>
      <c r="H204" s="127"/>
      <c r="I204" s="127"/>
      <c r="J204" s="127"/>
      <c r="K204" s="133"/>
      <c r="L204" s="123"/>
      <c r="M204" s="120"/>
    </row>
    <row r="205" spans="3:13" ht="15.75" x14ac:dyDescent="0.25">
      <c r="C205" s="116"/>
      <c r="D205" s="116"/>
      <c r="E205" s="131"/>
      <c r="F205" s="127"/>
      <c r="G205" s="127"/>
      <c r="H205" s="127"/>
      <c r="I205" s="127"/>
      <c r="J205" s="127"/>
      <c r="K205" s="133"/>
      <c r="L205" s="123"/>
      <c r="M205" s="120"/>
    </row>
    <row r="206" spans="3:13" ht="15.75" x14ac:dyDescent="0.25">
      <c r="C206" s="116"/>
      <c r="D206" s="116"/>
      <c r="E206" s="131"/>
      <c r="F206" s="127"/>
      <c r="G206" s="127"/>
      <c r="H206" s="127"/>
      <c r="I206" s="127"/>
      <c r="J206" s="127"/>
      <c r="K206" s="133"/>
      <c r="L206" s="123"/>
      <c r="M206" s="120"/>
    </row>
    <row r="207" spans="3:13" ht="15.75" x14ac:dyDescent="0.25">
      <c r="C207" s="116"/>
      <c r="D207" s="116"/>
      <c r="E207" s="126"/>
      <c r="F207" s="127"/>
      <c r="G207" s="127"/>
      <c r="H207" s="127"/>
      <c r="I207" s="127"/>
      <c r="J207" s="127"/>
      <c r="K207" s="128"/>
      <c r="L207" s="123"/>
      <c r="M207" s="120"/>
    </row>
    <row r="208" spans="3:13" ht="15.75" x14ac:dyDescent="0.25">
      <c r="C208" s="116"/>
      <c r="D208" s="116"/>
      <c r="E208" s="126"/>
      <c r="F208" s="127"/>
      <c r="G208" s="127"/>
      <c r="H208" s="127"/>
      <c r="I208" s="127"/>
      <c r="J208" s="127"/>
      <c r="K208" s="133"/>
      <c r="L208" s="123"/>
      <c r="M208" s="134"/>
    </row>
    <row r="209" spans="5:13" ht="15.75" x14ac:dyDescent="0.25">
      <c r="E209" s="135"/>
      <c r="F209" s="136"/>
      <c r="G209" s="136"/>
      <c r="H209" s="136"/>
      <c r="I209" s="136"/>
      <c r="J209" s="136"/>
      <c r="K209" s="137"/>
      <c r="L209" s="138"/>
      <c r="M209" s="134"/>
    </row>
    <row r="210" spans="5:13" x14ac:dyDescent="0.25">
      <c r="E210" s="139"/>
      <c r="F210" s="134"/>
      <c r="G210" s="134"/>
      <c r="H210" s="134"/>
      <c r="I210" s="134"/>
      <c r="J210" s="134"/>
      <c r="K210" s="140"/>
      <c r="L210" s="138"/>
      <c r="M210" s="134"/>
    </row>
    <row r="211" spans="5:13" x14ac:dyDescent="0.25">
      <c r="E211" s="139"/>
      <c r="F211" s="134"/>
      <c r="G211" s="134"/>
      <c r="H211" s="134"/>
      <c r="I211" s="134"/>
      <c r="J211" s="134"/>
      <c r="K211" s="140"/>
      <c r="L211" s="138"/>
    </row>
  </sheetData>
  <mergeCells count="15">
    <mergeCell ref="C1:E1"/>
    <mergeCell ref="H1:K1"/>
    <mergeCell ref="H2:K2"/>
    <mergeCell ref="A2:F2"/>
    <mergeCell ref="C59:D59"/>
    <mergeCell ref="C182:D182"/>
    <mergeCell ref="C183:E183"/>
    <mergeCell ref="C23:D23"/>
    <mergeCell ref="C41:D41"/>
    <mergeCell ref="C129:D129"/>
    <mergeCell ref="C78:D78"/>
    <mergeCell ref="C94:D94"/>
    <mergeCell ref="C111:D111"/>
    <mergeCell ref="C147:D147"/>
    <mergeCell ref="C164:D164"/>
  </mergeCells>
  <pageMargins left="0.70866141732283472" right="0.70866141732283472" top="0.74803149606299213" bottom="0.74803149606299213" header="0.31496062992125984" footer="0.31496062992125984"/>
  <pageSetup paperSize="9" scale="90" orientation="landscape"/>
  <ignoredErrors>
    <ignoredError sqref="G9 G173:J173 G175:J175 G168:J168 J9 H9 I9 G98:J98" unlockedFormula="1"/>
    <ignoredError sqref="K176 K15 K172 K123 K9 K158 K70:K72 K24 K68 K86 K113 K168 K13" numberStoredAsText="1"/>
    <ignoredError sqref="G18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4" sqref="B14"/>
    </sheetView>
  </sheetViews>
  <sheetFormatPr default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все</vt:lpstr>
      <vt:lpstr>лист</vt:lpstr>
      <vt:lpstr>все!Область_печати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2022-05-16T09:23:00Z</dcterms:created>
  <dcterms:modified xsi:type="dcterms:W3CDTF">2026-09-11T03:46:10Z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35f62fa1bd504aa1a69b823fc4638b55_23</vt:lpwstr>
  </property>
  <property fmtid="{D5CDD505-2E9C-101B-9397-08002B2CF9AE}" pid="3" name="KSOProductBuildVer">
    <vt:lpwstr>1049-12.2.0.17152</vt:lpwstr>
  </property>
</Properties>
</file>